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firstSheet="22" activeTab="27"/>
  </bookViews>
  <sheets>
    <sheet name="Fig#1c" sheetId="1" r:id="rId1"/>
    <sheet name="Fig#1d" sheetId="2" r:id="rId2"/>
    <sheet name="Fig#2a,b,c" sheetId="22" r:id="rId3"/>
    <sheet name="Fig#2d" sheetId="19" r:id="rId4"/>
    <sheet name="Fig#2e" sheetId="20" r:id="rId5"/>
    <sheet name="Fig#2f" sheetId="21" r:id="rId6"/>
    <sheet name="Fig#3a" sheetId="17" r:id="rId7"/>
    <sheet name="Fig#3b" sheetId="18" r:id="rId8"/>
    <sheet name="Fig#3c" sheetId="15" r:id="rId9"/>
    <sheet name="Fig#3d" sheetId="16" r:id="rId10"/>
    <sheet name="Fig#4a" sheetId="5" r:id="rId11"/>
    <sheet name="Fig#4b" sheetId="6" r:id="rId12"/>
    <sheet name="Fig#4c" sheetId="7" r:id="rId13"/>
    <sheet name="Fig#4d" sheetId="8" r:id="rId14"/>
    <sheet name="Fig#4e" sheetId="9" r:id="rId15"/>
    <sheet name="Fig#5b" sheetId="14" r:id="rId16"/>
    <sheet name="Fig#5c" sheetId="13" r:id="rId17"/>
    <sheet name="Fig#5d" sheetId="11" r:id="rId18"/>
    <sheet name="Fig#5e" sheetId="12" r:id="rId19"/>
    <sheet name="Fig#6a" sheetId="23" r:id="rId20"/>
    <sheet name="Fig#6b" sheetId="24" r:id="rId21"/>
    <sheet name="Fig#7a-l" sheetId="10" r:id="rId22"/>
    <sheet name="Fig#8c-d" sheetId="31" r:id="rId23"/>
    <sheet name="Fig#8e,f" sheetId="29" r:id="rId24"/>
    <sheet name="Fig#8g" sheetId="25" r:id="rId25"/>
    <sheet name="supp#1a-d" sheetId="3" r:id="rId26"/>
    <sheet name="Supp#2a-b" sheetId="26" r:id="rId27"/>
    <sheet name="Supp#3a-d" sheetId="28" r:id="rId2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S29" i="23" l="1"/>
  <c r="AR29" i="23"/>
  <c r="AU29" i="23" s="1"/>
  <c r="AS28" i="23"/>
  <c r="AR28" i="23"/>
  <c r="AU28" i="23" s="1"/>
  <c r="AS27" i="23"/>
  <c r="AR27" i="23"/>
  <c r="AU27" i="23" s="1"/>
  <c r="AS26" i="23"/>
  <c r="AR26" i="23"/>
  <c r="AU26" i="23" s="1"/>
  <c r="AS25" i="23"/>
  <c r="AR25" i="23"/>
  <c r="AU25" i="23" s="1"/>
  <c r="AS24" i="23"/>
  <c r="AR24" i="23"/>
  <c r="AU24" i="23" s="1"/>
  <c r="AS23" i="23"/>
  <c r="AR23" i="23"/>
  <c r="AU23" i="23" s="1"/>
  <c r="AS22" i="23"/>
  <c r="AR22" i="23"/>
  <c r="AU22" i="23" s="1"/>
  <c r="AS21" i="23"/>
  <c r="AR21" i="23"/>
  <c r="AU21" i="23" s="1"/>
  <c r="AS20" i="23"/>
  <c r="AR20" i="23"/>
  <c r="AU20" i="23" s="1"/>
  <c r="P106" i="25" l="1"/>
  <c r="O106" i="25"/>
  <c r="N106" i="25"/>
  <c r="M106" i="25"/>
  <c r="L106" i="25"/>
  <c r="K106" i="25"/>
  <c r="J106" i="25"/>
  <c r="I106" i="25"/>
  <c r="H106" i="25"/>
  <c r="G106" i="25"/>
  <c r="F106" i="25"/>
  <c r="E106" i="25"/>
  <c r="D106" i="25"/>
  <c r="C106" i="25"/>
  <c r="B106" i="25"/>
  <c r="P105" i="25"/>
  <c r="O105" i="25"/>
  <c r="N105" i="25"/>
  <c r="M105" i="25"/>
  <c r="L105" i="25"/>
  <c r="K105" i="25"/>
  <c r="J105" i="25"/>
  <c r="I105" i="25"/>
  <c r="H105" i="25"/>
  <c r="G105" i="25"/>
  <c r="F105" i="25"/>
  <c r="E105" i="25"/>
  <c r="D105" i="25"/>
  <c r="C105" i="25"/>
  <c r="B105" i="25"/>
  <c r="P104" i="25"/>
  <c r="O104" i="25"/>
  <c r="N104" i="25"/>
  <c r="M104" i="25"/>
  <c r="L104" i="25"/>
  <c r="K104" i="25"/>
  <c r="J104" i="25"/>
  <c r="I104" i="25"/>
  <c r="H104" i="25"/>
  <c r="G104" i="25"/>
  <c r="F104" i="25"/>
  <c r="E104" i="25"/>
  <c r="D104" i="25"/>
  <c r="C104" i="25"/>
  <c r="B104" i="25"/>
  <c r="U104" i="25" s="1"/>
  <c r="P103" i="25"/>
  <c r="O103" i="25"/>
  <c r="N103" i="25"/>
  <c r="M103" i="25"/>
  <c r="L103" i="25"/>
  <c r="K103" i="25"/>
  <c r="J103" i="25"/>
  <c r="I103" i="25"/>
  <c r="H103" i="25"/>
  <c r="G103" i="25"/>
  <c r="F103" i="25"/>
  <c r="E103" i="25"/>
  <c r="D103" i="25"/>
  <c r="C103" i="25"/>
  <c r="B103" i="25"/>
  <c r="P102" i="25"/>
  <c r="O102" i="25"/>
  <c r="N102" i="25"/>
  <c r="M102" i="25"/>
  <c r="L102" i="25"/>
  <c r="K102" i="25"/>
  <c r="J102" i="25"/>
  <c r="I102" i="25"/>
  <c r="H102" i="25"/>
  <c r="G102" i="25"/>
  <c r="F102" i="25"/>
  <c r="E102" i="25"/>
  <c r="D102" i="25"/>
  <c r="C102" i="25"/>
  <c r="B102" i="25"/>
  <c r="P101" i="25"/>
  <c r="O101" i="25"/>
  <c r="N101" i="25"/>
  <c r="M101" i="25"/>
  <c r="L101" i="25"/>
  <c r="K101" i="25"/>
  <c r="J101" i="25"/>
  <c r="I101" i="25"/>
  <c r="H101" i="25"/>
  <c r="G101" i="25"/>
  <c r="F101" i="25"/>
  <c r="E101" i="25"/>
  <c r="D101" i="25"/>
  <c r="C101" i="25"/>
  <c r="B101" i="25"/>
  <c r="P100" i="25"/>
  <c r="O100" i="25"/>
  <c r="N100" i="25"/>
  <c r="M100" i="25"/>
  <c r="L100" i="25"/>
  <c r="K100" i="25"/>
  <c r="J100" i="25"/>
  <c r="I100" i="25"/>
  <c r="H100" i="25"/>
  <c r="G100" i="25"/>
  <c r="F100" i="25"/>
  <c r="E100" i="25"/>
  <c r="D100" i="25"/>
  <c r="C100" i="25"/>
  <c r="B100" i="25"/>
  <c r="U100" i="25" s="1"/>
  <c r="P99" i="25"/>
  <c r="O99" i="25"/>
  <c r="N99" i="25"/>
  <c r="M99" i="25"/>
  <c r="L99" i="25"/>
  <c r="K99" i="25"/>
  <c r="J99" i="25"/>
  <c r="I99" i="25"/>
  <c r="H99" i="25"/>
  <c r="G99" i="25"/>
  <c r="F99" i="25"/>
  <c r="E99" i="25"/>
  <c r="D99" i="25"/>
  <c r="C99" i="25"/>
  <c r="B99" i="25"/>
  <c r="P98" i="25"/>
  <c r="O98" i="25"/>
  <c r="N98" i="25"/>
  <c r="M98" i="25"/>
  <c r="L98" i="25"/>
  <c r="K98" i="25"/>
  <c r="J98" i="25"/>
  <c r="I98" i="25"/>
  <c r="H98" i="25"/>
  <c r="G98" i="25"/>
  <c r="F98" i="25"/>
  <c r="E98" i="25"/>
  <c r="D98" i="25"/>
  <c r="C98" i="25"/>
  <c r="B98" i="25"/>
  <c r="P97" i="25"/>
  <c r="O97" i="25"/>
  <c r="N97" i="25"/>
  <c r="M97" i="25"/>
  <c r="L97" i="25"/>
  <c r="K97" i="25"/>
  <c r="J97" i="25"/>
  <c r="I97" i="25"/>
  <c r="H97" i="25"/>
  <c r="G97" i="25"/>
  <c r="F97" i="25"/>
  <c r="E97" i="25"/>
  <c r="D97" i="25"/>
  <c r="C97" i="25"/>
  <c r="B97" i="25"/>
  <c r="P96" i="25"/>
  <c r="O96" i="25"/>
  <c r="N96" i="25"/>
  <c r="M96" i="25"/>
  <c r="L96" i="25"/>
  <c r="K96" i="25"/>
  <c r="J96" i="25"/>
  <c r="I96" i="25"/>
  <c r="H96" i="25"/>
  <c r="G96" i="25"/>
  <c r="F96" i="25"/>
  <c r="E96" i="25"/>
  <c r="D96" i="25"/>
  <c r="C96" i="25"/>
  <c r="B96" i="25"/>
  <c r="U96" i="25" s="1"/>
  <c r="P95" i="25"/>
  <c r="O95" i="25"/>
  <c r="N95" i="25"/>
  <c r="M95" i="25"/>
  <c r="L95" i="25"/>
  <c r="K95" i="25"/>
  <c r="J95" i="25"/>
  <c r="I95" i="25"/>
  <c r="H95" i="25"/>
  <c r="G95" i="25"/>
  <c r="F95" i="25"/>
  <c r="E95" i="25"/>
  <c r="D95" i="25"/>
  <c r="C95" i="25"/>
  <c r="B95" i="25"/>
  <c r="P94" i="25"/>
  <c r="O94" i="25"/>
  <c r="N94" i="25"/>
  <c r="M94" i="25"/>
  <c r="L94" i="25"/>
  <c r="K94" i="25"/>
  <c r="J94" i="25"/>
  <c r="I94" i="25"/>
  <c r="H94" i="25"/>
  <c r="G94" i="25"/>
  <c r="F94" i="25"/>
  <c r="E94" i="25"/>
  <c r="D94" i="25"/>
  <c r="C94" i="25"/>
  <c r="B94" i="25"/>
  <c r="P93" i="25"/>
  <c r="O93" i="25"/>
  <c r="N93" i="25"/>
  <c r="M93" i="25"/>
  <c r="L93" i="25"/>
  <c r="K93" i="25"/>
  <c r="J93" i="25"/>
  <c r="I93" i="25"/>
  <c r="H93" i="25"/>
  <c r="G93" i="25"/>
  <c r="F93" i="25"/>
  <c r="E93" i="25"/>
  <c r="D93" i="25"/>
  <c r="C93" i="25"/>
  <c r="B93" i="25"/>
  <c r="P92" i="25"/>
  <c r="O92" i="25"/>
  <c r="N92" i="25"/>
  <c r="M92" i="25"/>
  <c r="L92" i="25"/>
  <c r="K92" i="25"/>
  <c r="J92" i="25"/>
  <c r="I92" i="25"/>
  <c r="H92" i="25"/>
  <c r="G92" i="25"/>
  <c r="F92" i="25"/>
  <c r="E92" i="25"/>
  <c r="D92" i="25"/>
  <c r="C92" i="25"/>
  <c r="B92" i="25"/>
  <c r="U92" i="25" s="1"/>
  <c r="P91" i="25"/>
  <c r="O91" i="25"/>
  <c r="N91" i="25"/>
  <c r="M91" i="25"/>
  <c r="L91" i="25"/>
  <c r="K91" i="25"/>
  <c r="J91" i="25"/>
  <c r="I91" i="25"/>
  <c r="H91" i="25"/>
  <c r="G91" i="25"/>
  <c r="F91" i="25"/>
  <c r="E91" i="25"/>
  <c r="D91" i="25"/>
  <c r="C91" i="25"/>
  <c r="B91" i="25"/>
  <c r="P90" i="25"/>
  <c r="O90" i="25"/>
  <c r="N90" i="25"/>
  <c r="M90" i="25"/>
  <c r="L90" i="25"/>
  <c r="K90" i="25"/>
  <c r="J90" i="25"/>
  <c r="I90" i="25"/>
  <c r="H90" i="25"/>
  <c r="G90" i="25"/>
  <c r="F90" i="25"/>
  <c r="E90" i="25"/>
  <c r="D90" i="25"/>
  <c r="C90" i="25"/>
  <c r="B90" i="25"/>
  <c r="P89" i="25"/>
  <c r="O89" i="25"/>
  <c r="N89" i="25"/>
  <c r="M89" i="25"/>
  <c r="L89" i="25"/>
  <c r="K89" i="25"/>
  <c r="J89" i="25"/>
  <c r="I89" i="25"/>
  <c r="H89" i="25"/>
  <c r="G89" i="25"/>
  <c r="F89" i="25"/>
  <c r="E89" i="25"/>
  <c r="D89" i="25"/>
  <c r="C89" i="25"/>
  <c r="B89" i="25"/>
  <c r="P88" i="25"/>
  <c r="O88" i="25"/>
  <c r="N88" i="25"/>
  <c r="M88" i="25"/>
  <c r="L88" i="25"/>
  <c r="K88" i="25"/>
  <c r="J88" i="25"/>
  <c r="I88" i="25"/>
  <c r="H88" i="25"/>
  <c r="G88" i="25"/>
  <c r="F88" i="25"/>
  <c r="E88" i="25"/>
  <c r="D88" i="25"/>
  <c r="C88" i="25"/>
  <c r="B88" i="25"/>
  <c r="U88" i="25" s="1"/>
  <c r="P87" i="25"/>
  <c r="O87" i="25"/>
  <c r="N87" i="25"/>
  <c r="M87" i="25"/>
  <c r="L87" i="25"/>
  <c r="K87" i="25"/>
  <c r="J87" i="25"/>
  <c r="I87" i="25"/>
  <c r="H87" i="25"/>
  <c r="G87" i="25"/>
  <c r="F87" i="25"/>
  <c r="E87" i="25"/>
  <c r="D87" i="25"/>
  <c r="C87" i="25"/>
  <c r="B87" i="25"/>
  <c r="P86" i="25"/>
  <c r="O86" i="25"/>
  <c r="N86" i="25"/>
  <c r="M86" i="25"/>
  <c r="L86" i="25"/>
  <c r="K86" i="25"/>
  <c r="J86" i="25"/>
  <c r="I86" i="25"/>
  <c r="H86" i="25"/>
  <c r="G86" i="25"/>
  <c r="F86" i="25"/>
  <c r="E86" i="25"/>
  <c r="D86" i="25"/>
  <c r="C86" i="25"/>
  <c r="B86" i="25"/>
  <c r="P85" i="25"/>
  <c r="O85" i="25"/>
  <c r="N85" i="25"/>
  <c r="M85" i="25"/>
  <c r="L85" i="25"/>
  <c r="K85" i="25"/>
  <c r="J85" i="25"/>
  <c r="I85" i="25"/>
  <c r="H85" i="25"/>
  <c r="G85" i="25"/>
  <c r="F85" i="25"/>
  <c r="E85" i="25"/>
  <c r="D85" i="25"/>
  <c r="C85" i="25"/>
  <c r="B85" i="25"/>
  <c r="P84" i="25"/>
  <c r="O84" i="25"/>
  <c r="N84" i="25"/>
  <c r="M84" i="25"/>
  <c r="L84" i="25"/>
  <c r="K84" i="25"/>
  <c r="J84" i="25"/>
  <c r="I84" i="25"/>
  <c r="H84" i="25"/>
  <c r="G84" i="25"/>
  <c r="F84" i="25"/>
  <c r="E84" i="25"/>
  <c r="D84" i="25"/>
  <c r="C84" i="25"/>
  <c r="B84" i="25"/>
  <c r="U84" i="25" s="1"/>
  <c r="P83" i="25"/>
  <c r="O83" i="25"/>
  <c r="N83" i="25"/>
  <c r="M83" i="25"/>
  <c r="L83" i="25"/>
  <c r="K83" i="25"/>
  <c r="J83" i="25"/>
  <c r="I83" i="25"/>
  <c r="H83" i="25"/>
  <c r="G83" i="25"/>
  <c r="F83" i="25"/>
  <c r="E83" i="25"/>
  <c r="D83" i="25"/>
  <c r="C83" i="25"/>
  <c r="B83" i="25"/>
  <c r="P82" i="25"/>
  <c r="O82" i="25"/>
  <c r="N82" i="25"/>
  <c r="M82" i="25"/>
  <c r="L82" i="25"/>
  <c r="K82" i="25"/>
  <c r="J82" i="25"/>
  <c r="I82" i="25"/>
  <c r="H82" i="25"/>
  <c r="G82" i="25"/>
  <c r="F82" i="25"/>
  <c r="E82" i="25"/>
  <c r="D82" i="25"/>
  <c r="C82" i="25"/>
  <c r="B82" i="25"/>
  <c r="P81" i="25"/>
  <c r="O81" i="25"/>
  <c r="N81" i="25"/>
  <c r="M81" i="25"/>
  <c r="L81" i="25"/>
  <c r="K81" i="25"/>
  <c r="J81" i="25"/>
  <c r="I81" i="25"/>
  <c r="H81" i="25"/>
  <c r="G81" i="25"/>
  <c r="F81" i="25"/>
  <c r="E81" i="25"/>
  <c r="D81" i="25"/>
  <c r="C81" i="25"/>
  <c r="B81" i="25"/>
  <c r="P80" i="25"/>
  <c r="O80" i="25"/>
  <c r="N80" i="25"/>
  <c r="M80" i="25"/>
  <c r="L80" i="25"/>
  <c r="K80" i="25"/>
  <c r="J80" i="25"/>
  <c r="I80" i="25"/>
  <c r="H80" i="25"/>
  <c r="G80" i="25"/>
  <c r="F80" i="25"/>
  <c r="E80" i="25"/>
  <c r="D80" i="25"/>
  <c r="C80" i="25"/>
  <c r="B80" i="25"/>
  <c r="U80" i="25" s="1"/>
  <c r="P79" i="25"/>
  <c r="O79" i="25"/>
  <c r="N79" i="25"/>
  <c r="M79" i="25"/>
  <c r="L79" i="25"/>
  <c r="K79" i="25"/>
  <c r="J79" i="25"/>
  <c r="I79" i="25"/>
  <c r="H79" i="25"/>
  <c r="G79" i="25"/>
  <c r="F79" i="25"/>
  <c r="E79" i="25"/>
  <c r="D79" i="25"/>
  <c r="C79" i="25"/>
  <c r="B79" i="25"/>
  <c r="P78" i="25"/>
  <c r="O78" i="25"/>
  <c r="N78" i="25"/>
  <c r="M78" i="25"/>
  <c r="L78" i="25"/>
  <c r="K78" i="25"/>
  <c r="J78" i="25"/>
  <c r="I78" i="25"/>
  <c r="H78" i="25"/>
  <c r="G78" i="25"/>
  <c r="F78" i="25"/>
  <c r="E78" i="25"/>
  <c r="D78" i="25"/>
  <c r="C78" i="25"/>
  <c r="B78" i="25"/>
  <c r="P77" i="25"/>
  <c r="O77" i="25"/>
  <c r="N77" i="25"/>
  <c r="M77" i="25"/>
  <c r="L77" i="25"/>
  <c r="K77" i="25"/>
  <c r="J77" i="25"/>
  <c r="I77" i="25"/>
  <c r="H77" i="25"/>
  <c r="G77" i="25"/>
  <c r="F77" i="25"/>
  <c r="E77" i="25"/>
  <c r="D77" i="25"/>
  <c r="C77" i="25"/>
  <c r="B77" i="25"/>
  <c r="P76" i="25"/>
  <c r="O76" i="25"/>
  <c r="N76" i="25"/>
  <c r="M76" i="25"/>
  <c r="L76" i="25"/>
  <c r="K76" i="25"/>
  <c r="J76" i="25"/>
  <c r="I76" i="25"/>
  <c r="H76" i="25"/>
  <c r="G76" i="25"/>
  <c r="F76" i="25"/>
  <c r="E76" i="25"/>
  <c r="D76" i="25"/>
  <c r="C76" i="25"/>
  <c r="B76" i="25"/>
  <c r="U76" i="25" s="1"/>
  <c r="P75" i="25"/>
  <c r="O75" i="25"/>
  <c r="N75" i="25"/>
  <c r="M75" i="25"/>
  <c r="L75" i="25"/>
  <c r="K75" i="25"/>
  <c r="J75" i="25"/>
  <c r="I75" i="25"/>
  <c r="H75" i="25"/>
  <c r="G75" i="25"/>
  <c r="F75" i="25"/>
  <c r="E75" i="25"/>
  <c r="D75" i="25"/>
  <c r="C75" i="25"/>
  <c r="B75" i="25"/>
  <c r="P74" i="25"/>
  <c r="O74" i="25"/>
  <c r="N74" i="25"/>
  <c r="M74" i="25"/>
  <c r="L74" i="25"/>
  <c r="K74" i="25"/>
  <c r="J74" i="25"/>
  <c r="I74" i="25"/>
  <c r="H74" i="25"/>
  <c r="G74" i="25"/>
  <c r="F74" i="25"/>
  <c r="E74" i="25"/>
  <c r="D74" i="25"/>
  <c r="C74" i="25"/>
  <c r="B74" i="25"/>
  <c r="P73" i="25"/>
  <c r="O73" i="25"/>
  <c r="N73" i="25"/>
  <c r="M73" i="25"/>
  <c r="L73" i="25"/>
  <c r="K73" i="25"/>
  <c r="J73" i="25"/>
  <c r="I73" i="25"/>
  <c r="H73" i="25"/>
  <c r="G73" i="25"/>
  <c r="F73" i="25"/>
  <c r="E73" i="25"/>
  <c r="D73" i="25"/>
  <c r="C73" i="25"/>
  <c r="B73" i="25"/>
  <c r="P72" i="25"/>
  <c r="O72" i="25"/>
  <c r="N72" i="25"/>
  <c r="M72" i="25"/>
  <c r="L72" i="25"/>
  <c r="K72" i="25"/>
  <c r="J72" i="25"/>
  <c r="I72" i="25"/>
  <c r="H72" i="25"/>
  <c r="G72" i="25"/>
  <c r="F72" i="25"/>
  <c r="E72" i="25"/>
  <c r="D72" i="25"/>
  <c r="C72" i="25"/>
  <c r="B72" i="25"/>
  <c r="U72" i="25" s="1"/>
  <c r="P71" i="25"/>
  <c r="O71" i="25"/>
  <c r="N71" i="25"/>
  <c r="M71" i="25"/>
  <c r="L71" i="25"/>
  <c r="K71" i="25"/>
  <c r="J71" i="25"/>
  <c r="I71" i="25"/>
  <c r="H71" i="25"/>
  <c r="G71" i="25"/>
  <c r="F71" i="25"/>
  <c r="E71" i="25"/>
  <c r="D71" i="25"/>
  <c r="C71" i="25"/>
  <c r="B71" i="25"/>
  <c r="P70" i="25"/>
  <c r="O70" i="25"/>
  <c r="N70" i="25"/>
  <c r="M70" i="25"/>
  <c r="L70" i="25"/>
  <c r="K70" i="25"/>
  <c r="J70" i="25"/>
  <c r="I70" i="25"/>
  <c r="H70" i="25"/>
  <c r="G70" i="25"/>
  <c r="F70" i="25"/>
  <c r="E70" i="25"/>
  <c r="D70" i="25"/>
  <c r="C70" i="25"/>
  <c r="B70" i="25"/>
  <c r="P69" i="25"/>
  <c r="O69" i="25"/>
  <c r="N69" i="25"/>
  <c r="M69" i="25"/>
  <c r="L69" i="25"/>
  <c r="K69" i="25"/>
  <c r="J69" i="25"/>
  <c r="I69" i="25"/>
  <c r="H69" i="25"/>
  <c r="G69" i="25"/>
  <c r="F69" i="25"/>
  <c r="E69" i="25"/>
  <c r="D69" i="25"/>
  <c r="C69" i="25"/>
  <c r="B69" i="25"/>
  <c r="P68" i="25"/>
  <c r="O68" i="25"/>
  <c r="N68" i="25"/>
  <c r="M68" i="25"/>
  <c r="L68" i="25"/>
  <c r="K68" i="25"/>
  <c r="J68" i="25"/>
  <c r="I68" i="25"/>
  <c r="H68" i="25"/>
  <c r="G68" i="25"/>
  <c r="F68" i="25"/>
  <c r="E68" i="25"/>
  <c r="D68" i="25"/>
  <c r="C68" i="25"/>
  <c r="B68" i="25"/>
  <c r="U68" i="25" s="1"/>
  <c r="P67" i="25"/>
  <c r="O67" i="25"/>
  <c r="N67" i="25"/>
  <c r="M67" i="25"/>
  <c r="L67" i="25"/>
  <c r="K67" i="25"/>
  <c r="J67" i="25"/>
  <c r="I67" i="25"/>
  <c r="H67" i="25"/>
  <c r="G67" i="25"/>
  <c r="F67" i="25"/>
  <c r="E67" i="25"/>
  <c r="D67" i="25"/>
  <c r="C67" i="25"/>
  <c r="B67" i="25"/>
  <c r="P66" i="25"/>
  <c r="O66" i="25"/>
  <c r="N66" i="25"/>
  <c r="M66" i="25"/>
  <c r="L66" i="25"/>
  <c r="K66" i="25"/>
  <c r="J66" i="25"/>
  <c r="I66" i="25"/>
  <c r="H66" i="25"/>
  <c r="G66" i="25"/>
  <c r="F66" i="25"/>
  <c r="E66" i="25"/>
  <c r="D66" i="25"/>
  <c r="C66" i="25"/>
  <c r="B66" i="25"/>
  <c r="P65" i="25"/>
  <c r="O65" i="25"/>
  <c r="N65" i="25"/>
  <c r="M65" i="25"/>
  <c r="L65" i="25"/>
  <c r="K65" i="25"/>
  <c r="J65" i="25"/>
  <c r="I65" i="25"/>
  <c r="H65" i="25"/>
  <c r="G65" i="25"/>
  <c r="F65" i="25"/>
  <c r="E65" i="25"/>
  <c r="D65" i="25"/>
  <c r="C65" i="25"/>
  <c r="B65" i="25"/>
  <c r="P64" i="25"/>
  <c r="O64" i="25"/>
  <c r="N64" i="25"/>
  <c r="M64" i="25"/>
  <c r="L64" i="25"/>
  <c r="K64" i="25"/>
  <c r="J64" i="25"/>
  <c r="I64" i="25"/>
  <c r="H64" i="25"/>
  <c r="G64" i="25"/>
  <c r="F64" i="25"/>
  <c r="E64" i="25"/>
  <c r="D64" i="25"/>
  <c r="C64" i="25"/>
  <c r="B64" i="25"/>
  <c r="U64" i="25" s="1"/>
  <c r="P63" i="25"/>
  <c r="O63" i="25"/>
  <c r="N63" i="25"/>
  <c r="M63" i="25"/>
  <c r="L63" i="25"/>
  <c r="K63" i="25"/>
  <c r="J63" i="25"/>
  <c r="I63" i="25"/>
  <c r="H63" i="25"/>
  <c r="G63" i="25"/>
  <c r="F63" i="25"/>
  <c r="E63" i="25"/>
  <c r="D63" i="25"/>
  <c r="C63" i="25"/>
  <c r="B63" i="25"/>
  <c r="P62" i="25"/>
  <c r="O62" i="25"/>
  <c r="N62" i="25"/>
  <c r="M62" i="25"/>
  <c r="L62" i="25"/>
  <c r="K62" i="25"/>
  <c r="J62" i="25"/>
  <c r="I62" i="25"/>
  <c r="H62" i="25"/>
  <c r="G62" i="25"/>
  <c r="F62" i="25"/>
  <c r="E62" i="25"/>
  <c r="D62" i="25"/>
  <c r="C62" i="25"/>
  <c r="B62" i="25"/>
  <c r="P61" i="25"/>
  <c r="O61" i="25"/>
  <c r="N61" i="25"/>
  <c r="M61" i="25"/>
  <c r="L61" i="25"/>
  <c r="K61" i="25"/>
  <c r="J61" i="25"/>
  <c r="I61" i="25"/>
  <c r="H61" i="25"/>
  <c r="G61" i="25"/>
  <c r="F61" i="25"/>
  <c r="E61" i="25"/>
  <c r="D61" i="25"/>
  <c r="C61" i="25"/>
  <c r="B61" i="25"/>
  <c r="P60" i="25"/>
  <c r="O60" i="25"/>
  <c r="N60" i="25"/>
  <c r="M60" i="25"/>
  <c r="L60" i="25"/>
  <c r="K60" i="25"/>
  <c r="J60" i="25"/>
  <c r="I60" i="25"/>
  <c r="H60" i="25"/>
  <c r="G60" i="25"/>
  <c r="F60" i="25"/>
  <c r="E60" i="25"/>
  <c r="D60" i="25"/>
  <c r="C60" i="25"/>
  <c r="B60" i="25"/>
  <c r="U60" i="25" s="1"/>
  <c r="P59" i="25"/>
  <c r="O59" i="25"/>
  <c r="N59" i="25"/>
  <c r="M59" i="25"/>
  <c r="L59" i="25"/>
  <c r="K59" i="25"/>
  <c r="J59" i="25"/>
  <c r="I59" i="25"/>
  <c r="H59" i="25"/>
  <c r="G59" i="25"/>
  <c r="F59" i="25"/>
  <c r="E59" i="25"/>
  <c r="D59" i="25"/>
  <c r="C59" i="25"/>
  <c r="B59" i="25"/>
  <c r="P58" i="25"/>
  <c r="O58" i="25"/>
  <c r="N58" i="25"/>
  <c r="M58" i="25"/>
  <c r="L58" i="25"/>
  <c r="K58" i="25"/>
  <c r="J58" i="25"/>
  <c r="I58" i="25"/>
  <c r="H58" i="25"/>
  <c r="G58" i="25"/>
  <c r="F58" i="25"/>
  <c r="E58" i="25"/>
  <c r="D58" i="25"/>
  <c r="C58" i="25"/>
  <c r="B58" i="25"/>
  <c r="T59" i="25" l="1"/>
  <c r="T63" i="25"/>
  <c r="T67" i="25"/>
  <c r="T71" i="25"/>
  <c r="T75" i="25"/>
  <c r="T79" i="25"/>
  <c r="T83" i="25"/>
  <c r="T87" i="25"/>
  <c r="T91" i="25"/>
  <c r="T95" i="25"/>
  <c r="T99" i="25"/>
  <c r="T103" i="25"/>
  <c r="U58" i="25"/>
  <c r="U62" i="25"/>
  <c r="U66" i="25"/>
  <c r="U70" i="25"/>
  <c r="U74" i="25"/>
  <c r="U78" i="25"/>
  <c r="U82" i="25"/>
  <c r="U86" i="25"/>
  <c r="U90" i="25"/>
  <c r="U94" i="25"/>
  <c r="U98" i="25"/>
  <c r="U102" i="25"/>
  <c r="U106" i="25"/>
  <c r="T58" i="25"/>
  <c r="T60" i="25"/>
  <c r="U61" i="25"/>
  <c r="T62" i="25"/>
  <c r="T64" i="25"/>
  <c r="U65" i="25"/>
  <c r="T66" i="25"/>
  <c r="T68" i="25"/>
  <c r="U69" i="25"/>
  <c r="T70" i="25"/>
  <c r="T72" i="25"/>
  <c r="U73" i="25"/>
  <c r="T74" i="25"/>
  <c r="T76" i="25"/>
  <c r="U77" i="25"/>
  <c r="T78" i="25"/>
  <c r="T80" i="25"/>
  <c r="U81" i="25"/>
  <c r="T82" i="25"/>
  <c r="T84" i="25"/>
  <c r="U85" i="25"/>
  <c r="T86" i="25"/>
  <c r="T88" i="25"/>
  <c r="U89" i="25"/>
  <c r="T90" i="25"/>
  <c r="T92" i="25"/>
  <c r="U93" i="25"/>
  <c r="T94" i="25"/>
  <c r="T96" i="25"/>
  <c r="U97" i="25"/>
  <c r="T98" i="25"/>
  <c r="T100" i="25"/>
  <c r="U101" i="25"/>
  <c r="T102" i="25"/>
  <c r="T104" i="25"/>
  <c r="U105" i="25"/>
  <c r="T106" i="25"/>
  <c r="U59" i="25"/>
  <c r="U63" i="25"/>
  <c r="U67" i="25"/>
  <c r="U71" i="25"/>
  <c r="U75" i="25"/>
  <c r="U79" i="25"/>
  <c r="U83" i="25"/>
  <c r="U87" i="25"/>
  <c r="U91" i="25"/>
  <c r="U95" i="25"/>
  <c r="U99" i="25"/>
  <c r="U103" i="25"/>
  <c r="T61" i="25"/>
  <c r="T65" i="25"/>
  <c r="T69" i="25"/>
  <c r="T73" i="25"/>
  <c r="T77" i="25"/>
  <c r="T81" i="25"/>
  <c r="T85" i="25"/>
  <c r="T89" i="25"/>
  <c r="T93" i="25"/>
  <c r="T97" i="25"/>
  <c r="T101" i="25"/>
  <c r="T105" i="25"/>
  <c r="G80" i="23" l="1"/>
  <c r="F80" i="23"/>
  <c r="H80" i="23" s="1"/>
  <c r="I80" i="23" s="1"/>
  <c r="I56" i="23"/>
  <c r="I79" i="23"/>
  <c r="F79" i="23"/>
  <c r="H79" i="23"/>
  <c r="G79" i="23"/>
  <c r="F78" i="23"/>
  <c r="H78" i="23" s="1"/>
  <c r="I78" i="23" s="1"/>
  <c r="G78" i="23"/>
  <c r="F77" i="23"/>
  <c r="H77" i="23" s="1"/>
  <c r="I77" i="23" s="1"/>
  <c r="G77" i="23"/>
  <c r="F76" i="23"/>
  <c r="H76" i="23"/>
  <c r="I76" i="23" s="1"/>
  <c r="G76" i="23"/>
  <c r="H58" i="23"/>
  <c r="I58" i="23" s="1"/>
  <c r="H60" i="23"/>
  <c r="I60" i="23" s="1"/>
  <c r="G55" i="23"/>
  <c r="G56" i="23"/>
  <c r="G57" i="23"/>
  <c r="G58" i="23"/>
  <c r="G59" i="23"/>
  <c r="G60" i="23"/>
  <c r="F56" i="23"/>
  <c r="F57" i="23"/>
  <c r="H57" i="23" s="1"/>
  <c r="I57" i="23" s="1"/>
  <c r="F58" i="23"/>
  <c r="F59" i="23"/>
  <c r="H59" i="23" s="1"/>
  <c r="I59" i="23" s="1"/>
  <c r="F60" i="23"/>
  <c r="H56" i="23"/>
  <c r="F50" i="23"/>
  <c r="H50" i="23" s="1"/>
  <c r="I50" i="23" s="1"/>
  <c r="G50" i="23"/>
  <c r="F49" i="23"/>
  <c r="H49" i="23" s="1"/>
  <c r="I49" i="23" s="1"/>
  <c r="G49" i="23"/>
  <c r="F48" i="23"/>
  <c r="H48" i="23" s="1"/>
  <c r="I48" i="23" s="1"/>
  <c r="G48" i="23"/>
  <c r="F47" i="23"/>
  <c r="H47" i="23"/>
  <c r="I47" i="23" s="1"/>
  <c r="G47" i="23"/>
  <c r="F46" i="23"/>
  <c r="H46" i="23" s="1"/>
  <c r="I46" i="23" s="1"/>
  <c r="G46" i="23"/>
  <c r="A8" i="24" l="1"/>
  <c r="A9" i="24"/>
  <c r="A10" i="24"/>
  <c r="A11" i="24"/>
  <c r="A12" i="24"/>
  <c r="A13" i="24"/>
  <c r="A14" i="24"/>
  <c r="A15" i="24"/>
  <c r="A16" i="24"/>
  <c r="A7" i="24"/>
  <c r="A38" i="24"/>
  <c r="A39" i="24"/>
  <c r="A40" i="24"/>
  <c r="A41" i="24"/>
  <c r="A42" i="24"/>
  <c r="A43" i="24"/>
  <c r="A44" i="24"/>
  <c r="A45" i="24"/>
  <c r="A46" i="24"/>
  <c r="A37" i="24"/>
  <c r="A22" i="24"/>
  <c r="A23" i="24"/>
  <c r="A24" i="24"/>
  <c r="A25" i="24"/>
  <c r="A26" i="24"/>
  <c r="A27" i="24"/>
  <c r="A28" i="24"/>
  <c r="A29" i="24"/>
  <c r="A30" i="24"/>
  <c r="A21" i="24"/>
  <c r="F90" i="24"/>
  <c r="H91" i="24" s="1"/>
  <c r="I91" i="24" s="1"/>
  <c r="G90" i="24"/>
  <c r="F89" i="24"/>
  <c r="H90" i="24"/>
  <c r="I90" i="24" s="1"/>
  <c r="G89" i="24"/>
  <c r="F88" i="24"/>
  <c r="H89" i="24"/>
  <c r="I89" i="24" s="1"/>
  <c r="G88" i="24"/>
  <c r="F87" i="24"/>
  <c r="H88" i="24" s="1"/>
  <c r="I88" i="24" s="1"/>
  <c r="G87" i="24"/>
  <c r="F86" i="24"/>
  <c r="H87" i="24"/>
  <c r="I87" i="24" s="1"/>
  <c r="G86" i="24"/>
  <c r="F85" i="24"/>
  <c r="H86" i="24"/>
  <c r="I86" i="24" s="1"/>
  <c r="G85" i="24"/>
  <c r="F84" i="24"/>
  <c r="H85" i="24"/>
  <c r="I85" i="24" s="1"/>
  <c r="G84" i="24"/>
  <c r="F83" i="24"/>
  <c r="H84" i="24"/>
  <c r="I84" i="24" s="1"/>
  <c r="G83" i="24"/>
  <c r="F82" i="24"/>
  <c r="H83" i="24"/>
  <c r="I83" i="24" s="1"/>
  <c r="G82" i="24"/>
  <c r="F81" i="24"/>
  <c r="H82" i="24"/>
  <c r="I82" i="24" s="1"/>
  <c r="G81" i="24"/>
  <c r="F80" i="24"/>
  <c r="H81" i="24"/>
  <c r="I81" i="24" s="1"/>
  <c r="G80" i="24"/>
  <c r="F79" i="24"/>
  <c r="H80" i="24"/>
  <c r="I80" i="24" s="1"/>
  <c r="G79" i="24"/>
  <c r="F78" i="24"/>
  <c r="H79" i="24" s="1"/>
  <c r="I79" i="24" s="1"/>
  <c r="G78" i="24"/>
  <c r="F77" i="24"/>
  <c r="H78" i="24" s="1"/>
  <c r="I78" i="24" s="1"/>
  <c r="G77" i="24"/>
  <c r="F76" i="24"/>
  <c r="H77" i="24" s="1"/>
  <c r="I77" i="24" s="1"/>
  <c r="G76" i="24"/>
  <c r="F75" i="24"/>
  <c r="H76" i="24" s="1"/>
  <c r="I76" i="24" s="1"/>
  <c r="G75" i="24"/>
  <c r="F74" i="24"/>
  <c r="H75" i="24"/>
  <c r="I75" i="24" s="1"/>
  <c r="G74" i="24"/>
  <c r="F73" i="24"/>
  <c r="H74" i="24"/>
  <c r="I74" i="24" s="1"/>
  <c r="G73" i="24"/>
  <c r="F72" i="24"/>
  <c r="H73" i="24"/>
  <c r="I73" i="24"/>
  <c r="G72" i="24"/>
  <c r="F71" i="24"/>
  <c r="H72" i="24"/>
  <c r="I72" i="24"/>
  <c r="G71" i="24"/>
  <c r="F70" i="24"/>
  <c r="H71" i="24"/>
  <c r="I71" i="24"/>
  <c r="G70" i="24"/>
  <c r="F69" i="24"/>
  <c r="H70" i="24"/>
  <c r="I70" i="24" s="1"/>
  <c r="G69" i="24"/>
  <c r="F68" i="24"/>
  <c r="H69" i="24"/>
  <c r="I69" i="24"/>
  <c r="G68" i="24"/>
  <c r="F67" i="24"/>
  <c r="H68" i="24"/>
  <c r="I68" i="24" s="1"/>
  <c r="G67" i="24"/>
  <c r="G66" i="24"/>
  <c r="F66" i="24"/>
  <c r="H67" i="24" s="1"/>
  <c r="I67" i="24" s="1"/>
  <c r="F65" i="24"/>
  <c r="H66" i="24"/>
  <c r="I66" i="24" s="1"/>
  <c r="G65" i="24"/>
  <c r="F64" i="24"/>
  <c r="H65" i="24"/>
  <c r="I65" i="24"/>
  <c r="G64" i="24"/>
  <c r="F63" i="24"/>
  <c r="H64" i="24"/>
  <c r="I64" i="24"/>
  <c r="G63" i="24"/>
  <c r="F62" i="24"/>
  <c r="H63" i="24"/>
  <c r="I63" i="24" s="1"/>
  <c r="G62" i="24"/>
  <c r="F61" i="24"/>
  <c r="H62" i="24" s="1"/>
  <c r="I62" i="24" s="1"/>
  <c r="G61" i="24"/>
  <c r="G60" i="24"/>
  <c r="F60" i="24"/>
  <c r="H61" i="24" s="1"/>
  <c r="I61" i="24" s="1"/>
  <c r="G59" i="24"/>
  <c r="F59" i="24"/>
  <c r="H60" i="24" s="1"/>
  <c r="I60" i="24" s="1"/>
  <c r="G58" i="24"/>
  <c r="F58" i="24"/>
  <c r="H59" i="24" s="1"/>
  <c r="I59" i="24" s="1"/>
  <c r="G57" i="24"/>
  <c r="F57" i="24"/>
  <c r="H58" i="24" s="1"/>
  <c r="I58" i="24" s="1"/>
  <c r="G56" i="24"/>
  <c r="F56" i="24"/>
  <c r="H57" i="24" s="1"/>
  <c r="I57" i="24" s="1"/>
  <c r="G55" i="24"/>
  <c r="F55" i="24"/>
  <c r="H56" i="24" s="1"/>
  <c r="I56" i="24" s="1"/>
  <c r="G54" i="24"/>
  <c r="F54" i="24"/>
  <c r="H55" i="24" s="1"/>
  <c r="I55" i="24" s="1"/>
  <c r="G53" i="24"/>
  <c r="F53" i="24"/>
  <c r="F75" i="23"/>
  <c r="H75" i="23" s="1"/>
  <c r="I75" i="23" s="1"/>
  <c r="G75" i="23"/>
  <c r="F74" i="23"/>
  <c r="H74" i="23" s="1"/>
  <c r="I74" i="23" s="1"/>
  <c r="G74" i="23"/>
  <c r="F73" i="23"/>
  <c r="H73" i="23" s="1"/>
  <c r="I73" i="23" s="1"/>
  <c r="G73" i="23"/>
  <c r="F72" i="23"/>
  <c r="H72" i="23" s="1"/>
  <c r="I72" i="23" s="1"/>
  <c r="G72" i="23"/>
  <c r="F71" i="23"/>
  <c r="H71" i="23" s="1"/>
  <c r="I71" i="23" s="1"/>
  <c r="G71" i="23"/>
  <c r="F65" i="23"/>
  <c r="H65" i="23" s="1"/>
  <c r="I65" i="23" s="1"/>
  <c r="G65" i="23"/>
  <c r="F64" i="23"/>
  <c r="H64" i="23" s="1"/>
  <c r="I64" i="23" s="1"/>
  <c r="G64" i="23"/>
  <c r="F63" i="23"/>
  <c r="H63" i="23" s="1"/>
  <c r="I63" i="23" s="1"/>
  <c r="G63" i="23"/>
  <c r="F62" i="23"/>
  <c r="H62" i="23" s="1"/>
  <c r="I62" i="23" s="1"/>
  <c r="G62" i="23"/>
  <c r="F61" i="23"/>
  <c r="H61" i="23" s="1"/>
  <c r="I61" i="23" s="1"/>
  <c r="G61" i="23"/>
  <c r="F70" i="23"/>
  <c r="H70" i="23" s="1"/>
  <c r="I70" i="23" s="1"/>
  <c r="G70" i="23"/>
  <c r="F69" i="23"/>
  <c r="H69" i="23" s="1"/>
  <c r="I69" i="23" s="1"/>
  <c r="G69" i="23"/>
  <c r="F68" i="23"/>
  <c r="H68" i="23" s="1"/>
  <c r="I68" i="23" s="1"/>
  <c r="G68" i="23"/>
  <c r="F67" i="23"/>
  <c r="G67" i="23"/>
  <c r="F66" i="23"/>
  <c r="H66" i="23" s="1"/>
  <c r="I66" i="23" s="1"/>
  <c r="G66" i="23"/>
  <c r="H67" i="23"/>
  <c r="I67" i="23" s="1"/>
  <c r="F55" i="23"/>
  <c r="H55" i="23" s="1"/>
  <c r="I55" i="23" s="1"/>
  <c r="F54" i="23"/>
  <c r="H54" i="23" s="1"/>
  <c r="I54" i="23" s="1"/>
  <c r="G54" i="23"/>
  <c r="F53" i="23"/>
  <c r="H53" i="23" s="1"/>
  <c r="I53" i="23" s="1"/>
  <c r="G53" i="23"/>
  <c r="F52" i="23"/>
  <c r="H52" i="23" s="1"/>
  <c r="I52" i="23" s="1"/>
  <c r="G52" i="23"/>
  <c r="F51" i="23"/>
  <c r="H51" i="23" s="1"/>
  <c r="I51" i="23" s="1"/>
  <c r="G51" i="23"/>
  <c r="F45" i="23"/>
  <c r="H45" i="23" s="1"/>
  <c r="I45" i="23" s="1"/>
  <c r="G45" i="23"/>
  <c r="F44" i="23"/>
  <c r="H44" i="23" s="1"/>
  <c r="I44" i="23" s="1"/>
  <c r="G44" i="23"/>
  <c r="F43" i="23"/>
  <c r="H43" i="23" s="1"/>
  <c r="I43" i="23" s="1"/>
  <c r="G43" i="23"/>
  <c r="F42" i="23"/>
  <c r="H42" i="23" s="1"/>
  <c r="I42" i="23" s="1"/>
  <c r="G42" i="23"/>
  <c r="F41" i="23"/>
  <c r="H41" i="23" s="1"/>
  <c r="I41" i="23" s="1"/>
  <c r="G41" i="23"/>
  <c r="G34" i="23"/>
  <c r="G35" i="23"/>
  <c r="G36" i="23"/>
  <c r="G37" i="23"/>
  <c r="G38" i="23"/>
  <c r="G39" i="23"/>
  <c r="G40" i="23"/>
  <c r="G33" i="23"/>
  <c r="F34" i="23"/>
  <c r="H34" i="23" s="1"/>
  <c r="I34" i="23" s="1"/>
  <c r="F35" i="23"/>
  <c r="H35" i="23" s="1"/>
  <c r="I35" i="23" s="1"/>
  <c r="F36" i="23"/>
  <c r="H36" i="23" s="1"/>
  <c r="I36" i="23" s="1"/>
  <c r="F37" i="23"/>
  <c r="H37" i="23" s="1"/>
  <c r="I37" i="23" s="1"/>
  <c r="F38" i="23"/>
  <c r="H38" i="23" s="1"/>
  <c r="I38" i="23" s="1"/>
  <c r="F39" i="23"/>
  <c r="H39" i="23" s="1"/>
  <c r="I39" i="23" s="1"/>
  <c r="F40" i="23"/>
  <c r="H40" i="23" s="1"/>
  <c r="I40" i="23" s="1"/>
  <c r="F33" i="23"/>
  <c r="AS6" i="23"/>
  <c r="AS7" i="23"/>
  <c r="AS8" i="23"/>
  <c r="AS9" i="23"/>
  <c r="AS10" i="23"/>
  <c r="AS11" i="23"/>
  <c r="AS12" i="23"/>
  <c r="AS13" i="23"/>
  <c r="AS14" i="23"/>
  <c r="AR6" i="23"/>
  <c r="AU6" i="23" s="1"/>
  <c r="AR7" i="23"/>
  <c r="AU7" i="23" s="1"/>
  <c r="AR8" i="23"/>
  <c r="AU8" i="23" s="1"/>
  <c r="AR9" i="23"/>
  <c r="AU9" i="23" s="1"/>
  <c r="AR10" i="23"/>
  <c r="AU10" i="23" s="1"/>
  <c r="AR11" i="23"/>
  <c r="AU11" i="23" s="1"/>
  <c r="AR12" i="23"/>
  <c r="AU12" i="23" s="1"/>
  <c r="AR13" i="23"/>
  <c r="AU13" i="23" s="1"/>
  <c r="AR14" i="23"/>
  <c r="AU14" i="23" s="1"/>
  <c r="AS5" i="23"/>
  <c r="AR5" i="23"/>
  <c r="AU5" i="23" s="1"/>
  <c r="C8" i="24" l="1"/>
  <c r="D8" i="24" s="1"/>
  <c r="E8" i="24" s="1"/>
  <c r="C9" i="24"/>
  <c r="D9" i="24" s="1"/>
  <c r="E9" i="24" s="1"/>
  <c r="C10" i="24"/>
  <c r="D10" i="24" s="1"/>
  <c r="E10" i="24" s="1"/>
  <c r="C11" i="24"/>
  <c r="D11" i="24" s="1"/>
  <c r="E11" i="24" s="1"/>
  <c r="C12" i="24"/>
  <c r="D12" i="24" s="1"/>
  <c r="E12" i="24" s="1"/>
  <c r="C13" i="24"/>
  <c r="D13" i="24" s="1"/>
  <c r="E13" i="24" s="1"/>
  <c r="C14" i="24"/>
  <c r="D14" i="24" s="1"/>
  <c r="E14" i="24" s="1"/>
  <c r="C15" i="24"/>
  <c r="D15" i="24" s="1"/>
  <c r="E15" i="24" s="1"/>
  <c r="C16" i="24"/>
  <c r="D16" i="24" s="1"/>
  <c r="E16" i="24" s="1"/>
  <c r="C7" i="24"/>
  <c r="D7" i="24" s="1"/>
  <c r="C22" i="24"/>
  <c r="D22" i="24" s="1"/>
  <c r="E22" i="24" s="1"/>
  <c r="C23" i="24"/>
  <c r="D23" i="24" s="1"/>
  <c r="E23" i="24" s="1"/>
  <c r="C24" i="24"/>
  <c r="D24" i="24" s="1"/>
  <c r="E24" i="24" s="1"/>
  <c r="C25" i="24"/>
  <c r="D25" i="24" s="1"/>
  <c r="E25" i="24" s="1"/>
  <c r="C26" i="24"/>
  <c r="C27" i="24"/>
  <c r="D27" i="24" s="1"/>
  <c r="E27" i="24" s="1"/>
  <c r="C28" i="24"/>
  <c r="D28" i="24" s="1"/>
  <c r="E28" i="24" s="1"/>
  <c r="C29" i="24"/>
  <c r="D29" i="24" s="1"/>
  <c r="E29" i="24" s="1"/>
  <c r="C30" i="24"/>
  <c r="C21" i="24"/>
  <c r="D21" i="24" s="1"/>
  <c r="C38" i="24"/>
  <c r="D38" i="24" s="1"/>
  <c r="E38" i="24" s="1"/>
  <c r="C39" i="24"/>
  <c r="D39" i="24" s="1"/>
  <c r="C40" i="24"/>
  <c r="D40" i="24" s="1"/>
  <c r="E40" i="24" s="1"/>
  <c r="C41" i="24"/>
  <c r="D41" i="24" s="1"/>
  <c r="E41" i="24" s="1"/>
  <c r="C42" i="24"/>
  <c r="D42" i="24" s="1"/>
  <c r="E42" i="24" s="1"/>
  <c r="C43" i="24"/>
  <c r="C44" i="24"/>
  <c r="D44" i="24" s="1"/>
  <c r="E44" i="24" s="1"/>
  <c r="C45" i="24"/>
  <c r="D45" i="24" s="1"/>
  <c r="E45" i="24" s="1"/>
  <c r="C46" i="24"/>
  <c r="D46" i="24" s="1"/>
  <c r="E46" i="24" s="1"/>
  <c r="C37" i="24"/>
  <c r="D43" i="24"/>
  <c r="E43" i="24" s="1"/>
  <c r="D37" i="24"/>
  <c r="D30" i="24"/>
  <c r="E30" i="24" s="1"/>
  <c r="D26" i="24"/>
  <c r="E26" i="24" s="1"/>
  <c r="D17" i="24" l="1"/>
  <c r="E7" i="24"/>
  <c r="E39" i="24"/>
  <c r="D47" i="24"/>
  <c r="D31" i="24"/>
  <c r="E37" i="24"/>
  <c r="E21" i="24"/>
  <c r="L32" i="21" l="1"/>
  <c r="N32" i="21" s="1"/>
  <c r="K32" i="21"/>
  <c r="J32" i="21"/>
  <c r="O32" i="21" s="1"/>
  <c r="N31" i="21"/>
  <c r="Q31" i="21" s="1"/>
  <c r="S31" i="21" s="1"/>
  <c r="L31" i="21"/>
  <c r="K31" i="21"/>
  <c r="J31" i="21"/>
  <c r="O31" i="21" s="1"/>
  <c r="L30" i="21"/>
  <c r="N30" i="21" s="1"/>
  <c r="Q30" i="21" s="1"/>
  <c r="S30" i="21" s="1"/>
  <c r="K30" i="21"/>
  <c r="J30" i="21"/>
  <c r="O30" i="21" s="1"/>
  <c r="L29" i="21"/>
  <c r="N29" i="21" s="1"/>
  <c r="Q29" i="21" s="1"/>
  <c r="S29" i="21" s="1"/>
  <c r="K29" i="21"/>
  <c r="J29" i="21"/>
  <c r="O29" i="21" s="1"/>
  <c r="L26" i="21"/>
  <c r="N26" i="21" s="1"/>
  <c r="K26" i="21"/>
  <c r="J26" i="21"/>
  <c r="O26" i="21" s="1"/>
  <c r="N25" i="21"/>
  <c r="L25" i="21"/>
  <c r="K25" i="21"/>
  <c r="J25" i="21"/>
  <c r="O25" i="21" s="1"/>
  <c r="L24" i="21"/>
  <c r="N24" i="21" s="1"/>
  <c r="K24" i="21"/>
  <c r="J24" i="21"/>
  <c r="O24" i="21" s="1"/>
  <c r="L23" i="21"/>
  <c r="N23" i="21" s="1"/>
  <c r="Q23" i="21" s="1"/>
  <c r="S23" i="21" s="1"/>
  <c r="K23" i="21"/>
  <c r="J23" i="21"/>
  <c r="O23" i="21" s="1"/>
  <c r="L20" i="21"/>
  <c r="N20" i="21" s="1"/>
  <c r="Q20" i="21" s="1"/>
  <c r="S20" i="21" s="1"/>
  <c r="K20" i="21"/>
  <c r="J20" i="21"/>
  <c r="O20" i="21" s="1"/>
  <c r="N19" i="21"/>
  <c r="Q19" i="21" s="1"/>
  <c r="S19" i="21" s="1"/>
  <c r="L19" i="21"/>
  <c r="K19" i="21"/>
  <c r="J19" i="21"/>
  <c r="O19" i="21" s="1"/>
  <c r="L18" i="21"/>
  <c r="N18" i="21" s="1"/>
  <c r="Q18" i="21" s="1"/>
  <c r="S18" i="21" s="1"/>
  <c r="K18" i="21"/>
  <c r="J18" i="21"/>
  <c r="O18" i="21" s="1"/>
  <c r="L17" i="21"/>
  <c r="N17" i="21" s="1"/>
  <c r="Q17" i="21" s="1"/>
  <c r="S17" i="21" s="1"/>
  <c r="K17" i="21"/>
  <c r="J17" i="21"/>
  <c r="O17" i="21" s="1"/>
  <c r="L14" i="21"/>
  <c r="N14" i="21" s="1"/>
  <c r="K14" i="21"/>
  <c r="J14" i="21"/>
  <c r="O14" i="21" s="1"/>
  <c r="N13" i="21"/>
  <c r="L13" i="21"/>
  <c r="K13" i="21"/>
  <c r="J13" i="21"/>
  <c r="O13" i="21" s="1"/>
  <c r="L12" i="21"/>
  <c r="N12" i="21" s="1"/>
  <c r="K12" i="21"/>
  <c r="J12" i="21"/>
  <c r="O12" i="21" s="1"/>
  <c r="L11" i="21"/>
  <c r="N11" i="21" s="1"/>
  <c r="Q11" i="21" s="1"/>
  <c r="S11" i="21" s="1"/>
  <c r="K11" i="21"/>
  <c r="J11" i="21"/>
  <c r="O11" i="21" s="1"/>
  <c r="L8" i="21"/>
  <c r="N8" i="21" s="1"/>
  <c r="K8" i="21"/>
  <c r="J8" i="21"/>
  <c r="O8" i="21" s="1"/>
  <c r="N7" i="21"/>
  <c r="Q7" i="21" s="1"/>
  <c r="S7" i="21" s="1"/>
  <c r="L7" i="21"/>
  <c r="K7" i="21"/>
  <c r="J7" i="21"/>
  <c r="O7" i="21" s="1"/>
  <c r="L6" i="21"/>
  <c r="N6" i="21" s="1"/>
  <c r="Q6" i="21" s="1"/>
  <c r="S6" i="21" s="1"/>
  <c r="K6" i="21"/>
  <c r="J6" i="21"/>
  <c r="O6" i="21" s="1"/>
  <c r="L5" i="21"/>
  <c r="N5" i="21" s="1"/>
  <c r="Q5" i="21" s="1"/>
  <c r="S5" i="21" s="1"/>
  <c r="K5" i="21"/>
  <c r="J5" i="21"/>
  <c r="O5" i="21" s="1"/>
  <c r="Q14" i="21" l="1"/>
  <c r="S14" i="21" s="1"/>
  <c r="Q12" i="21"/>
  <c r="S12" i="21" s="1"/>
  <c r="Q13" i="21"/>
  <c r="S13" i="21" s="1"/>
  <c r="Q26" i="21"/>
  <c r="S26" i="21" s="1"/>
  <c r="Q8" i="21"/>
  <c r="S8" i="21" s="1"/>
  <c r="Q24" i="21"/>
  <c r="S24" i="21" s="1"/>
  <c r="Q25" i="21"/>
  <c r="S25" i="21" s="1"/>
  <c r="Q32" i="21"/>
  <c r="S32" i="21" s="1"/>
  <c r="L32" i="20" l="1"/>
  <c r="K32" i="20"/>
  <c r="J32" i="20"/>
  <c r="N32" i="20" s="1"/>
  <c r="N31" i="20"/>
  <c r="Q31" i="20" s="1"/>
  <c r="S31" i="20" s="1"/>
  <c r="L31" i="20"/>
  <c r="K31" i="20"/>
  <c r="J31" i="20"/>
  <c r="O31" i="20" s="1"/>
  <c r="L30" i="20"/>
  <c r="N30" i="20" s="1"/>
  <c r="Q30" i="20" s="1"/>
  <c r="S30" i="20" s="1"/>
  <c r="K30" i="20"/>
  <c r="J30" i="20"/>
  <c r="O30" i="20" s="1"/>
  <c r="L29" i="20"/>
  <c r="N29" i="20" s="1"/>
  <c r="Q29" i="20" s="1"/>
  <c r="S29" i="20" s="1"/>
  <c r="K29" i="20"/>
  <c r="J29" i="20"/>
  <c r="O29" i="20" s="1"/>
  <c r="L26" i="20"/>
  <c r="K26" i="20"/>
  <c r="J26" i="20"/>
  <c r="N26" i="20" s="1"/>
  <c r="N25" i="20"/>
  <c r="L25" i="20"/>
  <c r="K25" i="20"/>
  <c r="J25" i="20"/>
  <c r="O25" i="20" s="1"/>
  <c r="L24" i="20"/>
  <c r="N24" i="20" s="1"/>
  <c r="K24" i="20"/>
  <c r="J24" i="20"/>
  <c r="O24" i="20" s="1"/>
  <c r="L23" i="20"/>
  <c r="N23" i="20" s="1"/>
  <c r="Q23" i="20" s="1"/>
  <c r="S23" i="20" s="1"/>
  <c r="K23" i="20"/>
  <c r="J23" i="20"/>
  <c r="O23" i="20" s="1"/>
  <c r="L20" i="20"/>
  <c r="N20" i="20" s="1"/>
  <c r="Q20" i="20" s="1"/>
  <c r="S20" i="20" s="1"/>
  <c r="K20" i="20"/>
  <c r="J20" i="20"/>
  <c r="O20" i="20" s="1"/>
  <c r="N19" i="20"/>
  <c r="L19" i="20"/>
  <c r="K19" i="20"/>
  <c r="J19" i="20"/>
  <c r="O19" i="20" s="1"/>
  <c r="L18" i="20"/>
  <c r="N18" i="20" s="1"/>
  <c r="K18" i="20"/>
  <c r="J18" i="20"/>
  <c r="O18" i="20" s="1"/>
  <c r="L17" i="20"/>
  <c r="N17" i="20" s="1"/>
  <c r="Q17" i="20" s="1"/>
  <c r="S17" i="20" s="1"/>
  <c r="K17" i="20"/>
  <c r="J17" i="20"/>
  <c r="O17" i="20" s="1"/>
  <c r="L14" i="20"/>
  <c r="K14" i="20"/>
  <c r="J14" i="20"/>
  <c r="N14" i="20" s="1"/>
  <c r="N13" i="20"/>
  <c r="Q13" i="20" s="1"/>
  <c r="S13" i="20" s="1"/>
  <c r="L13" i="20"/>
  <c r="K13" i="20"/>
  <c r="J13" i="20"/>
  <c r="O13" i="20" s="1"/>
  <c r="L12" i="20"/>
  <c r="N12" i="20" s="1"/>
  <c r="Q12" i="20" s="1"/>
  <c r="S12" i="20" s="1"/>
  <c r="K12" i="20"/>
  <c r="J12" i="20"/>
  <c r="O12" i="20" s="1"/>
  <c r="L11" i="20"/>
  <c r="N11" i="20" s="1"/>
  <c r="Q11" i="20" s="1"/>
  <c r="S11" i="20" s="1"/>
  <c r="K11" i="20"/>
  <c r="J11" i="20"/>
  <c r="O11" i="20" s="1"/>
  <c r="L8" i="20"/>
  <c r="N8" i="20" s="1"/>
  <c r="K8" i="20"/>
  <c r="J8" i="20"/>
  <c r="O8" i="20" s="1"/>
  <c r="N7" i="20"/>
  <c r="Q7" i="20" s="1"/>
  <c r="S7" i="20" s="1"/>
  <c r="L7" i="20"/>
  <c r="K7" i="20"/>
  <c r="J7" i="20"/>
  <c r="O7" i="20" s="1"/>
  <c r="L6" i="20"/>
  <c r="N6" i="20" s="1"/>
  <c r="Q6" i="20" s="1"/>
  <c r="S6" i="20" s="1"/>
  <c r="K6" i="20"/>
  <c r="J6" i="20"/>
  <c r="O6" i="20" s="1"/>
  <c r="L5" i="20"/>
  <c r="N5" i="20" s="1"/>
  <c r="Q5" i="20" s="1"/>
  <c r="S5" i="20" s="1"/>
  <c r="K5" i="20"/>
  <c r="J5" i="20"/>
  <c r="O5" i="20" s="1"/>
  <c r="Q26" i="20" l="1"/>
  <c r="S26" i="20" s="1"/>
  <c r="Q32" i="20"/>
  <c r="S32" i="20" s="1"/>
  <c r="Q14" i="20"/>
  <c r="S14" i="20" s="1"/>
  <c r="Q18" i="20"/>
  <c r="S18" i="20" s="1"/>
  <c r="Q19" i="20"/>
  <c r="S19" i="20" s="1"/>
  <c r="Q8" i="20"/>
  <c r="S8" i="20" s="1"/>
  <c r="Q24" i="20"/>
  <c r="S24" i="20" s="1"/>
  <c r="Q25" i="20"/>
  <c r="S25" i="20" s="1"/>
  <c r="O14" i="20"/>
  <c r="O26" i="20"/>
  <c r="O32" i="20"/>
  <c r="N32" i="19" l="1"/>
  <c r="L32" i="19"/>
  <c r="K32" i="19"/>
  <c r="J32" i="19"/>
  <c r="O32" i="19" s="1"/>
  <c r="L31" i="19"/>
  <c r="N31" i="19" s="1"/>
  <c r="K31" i="19"/>
  <c r="J31" i="19"/>
  <c r="O31" i="19" s="1"/>
  <c r="L30" i="19"/>
  <c r="K30" i="19"/>
  <c r="N30" i="19" s="1"/>
  <c r="J30" i="19"/>
  <c r="O30" i="19" s="1"/>
  <c r="L29" i="19"/>
  <c r="N29" i="19" s="1"/>
  <c r="Q29" i="19" s="1"/>
  <c r="S29" i="19" s="1"/>
  <c r="K29" i="19"/>
  <c r="J29" i="19"/>
  <c r="O29" i="19" s="1"/>
  <c r="N26" i="19"/>
  <c r="L26" i="19"/>
  <c r="K26" i="19"/>
  <c r="J26" i="19"/>
  <c r="O26" i="19" s="1"/>
  <c r="L25" i="19"/>
  <c r="N25" i="19" s="1"/>
  <c r="K25" i="19"/>
  <c r="J25" i="19"/>
  <c r="O25" i="19" s="1"/>
  <c r="L24" i="19"/>
  <c r="K24" i="19"/>
  <c r="N24" i="19" s="1"/>
  <c r="Q24" i="19" s="1"/>
  <c r="S24" i="19" s="1"/>
  <c r="J24" i="19"/>
  <c r="O24" i="19" s="1"/>
  <c r="L23" i="19"/>
  <c r="N23" i="19" s="1"/>
  <c r="Q23" i="19" s="1"/>
  <c r="S23" i="19" s="1"/>
  <c r="K23" i="19"/>
  <c r="J23" i="19"/>
  <c r="O23" i="19" s="1"/>
  <c r="N20" i="19"/>
  <c r="Q20" i="19" s="1"/>
  <c r="S20" i="19" s="1"/>
  <c r="L20" i="19"/>
  <c r="K20" i="19"/>
  <c r="J20" i="19"/>
  <c r="O20" i="19" s="1"/>
  <c r="L19" i="19"/>
  <c r="N19" i="19" s="1"/>
  <c r="Q19" i="19" s="1"/>
  <c r="S19" i="19" s="1"/>
  <c r="K19" i="19"/>
  <c r="J19" i="19"/>
  <c r="O19" i="19" s="1"/>
  <c r="L18" i="19"/>
  <c r="K18" i="19"/>
  <c r="N18" i="19" s="1"/>
  <c r="Q18" i="19" s="1"/>
  <c r="S18" i="19" s="1"/>
  <c r="J18" i="19"/>
  <c r="O18" i="19" s="1"/>
  <c r="L17" i="19"/>
  <c r="N17" i="19" s="1"/>
  <c r="Q17" i="19" s="1"/>
  <c r="S17" i="19" s="1"/>
  <c r="K17" i="19"/>
  <c r="J17" i="19"/>
  <c r="O17" i="19" s="1"/>
  <c r="N14" i="19"/>
  <c r="L14" i="19"/>
  <c r="K14" i="19"/>
  <c r="J14" i="19"/>
  <c r="O14" i="19" s="1"/>
  <c r="L13" i="19"/>
  <c r="N13" i="19" s="1"/>
  <c r="K13" i="19"/>
  <c r="J13" i="19"/>
  <c r="O13" i="19" s="1"/>
  <c r="L12" i="19"/>
  <c r="K12" i="19"/>
  <c r="N12" i="19" s="1"/>
  <c r="J12" i="19"/>
  <c r="O12" i="19" s="1"/>
  <c r="L11" i="19"/>
  <c r="N11" i="19" s="1"/>
  <c r="Q11" i="19" s="1"/>
  <c r="S11" i="19" s="1"/>
  <c r="K11" i="19"/>
  <c r="J11" i="19"/>
  <c r="O11" i="19" s="1"/>
  <c r="N8" i="19"/>
  <c r="L8" i="19"/>
  <c r="K8" i="19"/>
  <c r="J8" i="19"/>
  <c r="O8" i="19" s="1"/>
  <c r="L7" i="19"/>
  <c r="N7" i="19" s="1"/>
  <c r="K7" i="19"/>
  <c r="J7" i="19"/>
  <c r="O7" i="19" s="1"/>
  <c r="L6" i="19"/>
  <c r="K6" i="19"/>
  <c r="N6" i="19" s="1"/>
  <c r="J6" i="19"/>
  <c r="O6" i="19" s="1"/>
  <c r="L5" i="19"/>
  <c r="N5" i="19" s="1"/>
  <c r="Q5" i="19" s="1"/>
  <c r="S5" i="19" s="1"/>
  <c r="K5" i="19"/>
  <c r="J5" i="19"/>
  <c r="O5" i="19" s="1"/>
  <c r="Q12" i="19" l="1"/>
  <c r="S12" i="19" s="1"/>
  <c r="Q13" i="19"/>
  <c r="S13" i="19" s="1"/>
  <c r="Q14" i="19"/>
  <c r="S14" i="19" s="1"/>
  <c r="Q25" i="19"/>
  <c r="S25" i="19" s="1"/>
  <c r="Q26" i="19"/>
  <c r="S26" i="19" s="1"/>
  <c r="Q6" i="19"/>
  <c r="S6" i="19" s="1"/>
  <c r="Q7" i="19"/>
  <c r="S7" i="19" s="1"/>
  <c r="Q8" i="19"/>
  <c r="S8" i="19" s="1"/>
  <c r="Q30" i="19"/>
  <c r="S30" i="19" s="1"/>
  <c r="Q31" i="19"/>
  <c r="S31" i="19" s="1"/>
  <c r="Q32" i="19"/>
  <c r="S32" i="19" s="1"/>
  <c r="N32" i="18" l="1"/>
  <c r="L32" i="18"/>
  <c r="K32" i="18"/>
  <c r="J32" i="18"/>
  <c r="O32" i="18" s="1"/>
  <c r="L31" i="18"/>
  <c r="N31" i="18" s="1"/>
  <c r="K31" i="18"/>
  <c r="J31" i="18"/>
  <c r="O31" i="18" s="1"/>
  <c r="L30" i="18"/>
  <c r="K30" i="18"/>
  <c r="N30" i="18" s="1"/>
  <c r="J30" i="18"/>
  <c r="O30" i="18" s="1"/>
  <c r="L29" i="18"/>
  <c r="N29" i="18" s="1"/>
  <c r="Q29" i="18" s="1"/>
  <c r="S29" i="18" s="1"/>
  <c r="K29" i="18"/>
  <c r="J29" i="18"/>
  <c r="O29" i="18" s="1"/>
  <c r="N26" i="18"/>
  <c r="L26" i="18"/>
  <c r="K26" i="18"/>
  <c r="J26" i="18"/>
  <c r="O26" i="18" s="1"/>
  <c r="L25" i="18"/>
  <c r="N25" i="18" s="1"/>
  <c r="K25" i="18"/>
  <c r="J25" i="18"/>
  <c r="O25" i="18" s="1"/>
  <c r="L24" i="18"/>
  <c r="K24" i="18"/>
  <c r="N24" i="18" s="1"/>
  <c r="J24" i="18"/>
  <c r="O24" i="18" s="1"/>
  <c r="L23" i="18"/>
  <c r="N23" i="18" s="1"/>
  <c r="Q23" i="18" s="1"/>
  <c r="S23" i="18" s="1"/>
  <c r="K23" i="18"/>
  <c r="J23" i="18"/>
  <c r="O23" i="18" s="1"/>
  <c r="N20" i="18"/>
  <c r="Q20" i="18" s="1"/>
  <c r="S20" i="18" s="1"/>
  <c r="L20" i="18"/>
  <c r="K20" i="18"/>
  <c r="J20" i="18"/>
  <c r="O20" i="18" s="1"/>
  <c r="L19" i="18"/>
  <c r="N19" i="18" s="1"/>
  <c r="Q19" i="18" s="1"/>
  <c r="S19" i="18" s="1"/>
  <c r="K19" i="18"/>
  <c r="J19" i="18"/>
  <c r="O19" i="18" s="1"/>
  <c r="L18" i="18"/>
  <c r="K18" i="18"/>
  <c r="N18" i="18" s="1"/>
  <c r="Q18" i="18" s="1"/>
  <c r="S18" i="18" s="1"/>
  <c r="J18" i="18"/>
  <c r="O18" i="18" s="1"/>
  <c r="L17" i="18"/>
  <c r="N17" i="18" s="1"/>
  <c r="Q17" i="18" s="1"/>
  <c r="S17" i="18" s="1"/>
  <c r="K17" i="18"/>
  <c r="J17" i="18"/>
  <c r="O17" i="18" s="1"/>
  <c r="N14" i="18"/>
  <c r="Q14" i="18" s="1"/>
  <c r="S14" i="18" s="1"/>
  <c r="L14" i="18"/>
  <c r="K14" i="18"/>
  <c r="J14" i="18"/>
  <c r="O14" i="18" s="1"/>
  <c r="L13" i="18"/>
  <c r="N13" i="18" s="1"/>
  <c r="Q13" i="18" s="1"/>
  <c r="S13" i="18" s="1"/>
  <c r="K13" i="18"/>
  <c r="J13" i="18"/>
  <c r="O13" i="18" s="1"/>
  <c r="L12" i="18"/>
  <c r="K12" i="18"/>
  <c r="N12" i="18" s="1"/>
  <c r="Q12" i="18" s="1"/>
  <c r="S12" i="18" s="1"/>
  <c r="J12" i="18"/>
  <c r="O12" i="18" s="1"/>
  <c r="L11" i="18"/>
  <c r="N11" i="18" s="1"/>
  <c r="Q11" i="18" s="1"/>
  <c r="S11" i="18" s="1"/>
  <c r="K11" i="18"/>
  <c r="J11" i="18"/>
  <c r="O11" i="18" s="1"/>
  <c r="N8" i="18"/>
  <c r="L8" i="18"/>
  <c r="K8" i="18"/>
  <c r="J8" i="18"/>
  <c r="O8" i="18" s="1"/>
  <c r="L7" i="18"/>
  <c r="N7" i="18" s="1"/>
  <c r="K7" i="18"/>
  <c r="J7" i="18"/>
  <c r="O7" i="18" s="1"/>
  <c r="L6" i="18"/>
  <c r="K6" i="18"/>
  <c r="N6" i="18" s="1"/>
  <c r="J6" i="18"/>
  <c r="O6" i="18" s="1"/>
  <c r="L5" i="18"/>
  <c r="N5" i="18" s="1"/>
  <c r="Q5" i="18" s="1"/>
  <c r="S5" i="18" s="1"/>
  <c r="K5" i="18"/>
  <c r="J5" i="18"/>
  <c r="O5" i="18" s="1"/>
  <c r="Q24" i="18" l="1"/>
  <c r="S24" i="18" s="1"/>
  <c r="Q25" i="18"/>
  <c r="S25" i="18" s="1"/>
  <c r="Q26" i="18"/>
  <c r="S26" i="18" s="1"/>
  <c r="Q6" i="18"/>
  <c r="S6" i="18" s="1"/>
  <c r="Q7" i="18"/>
  <c r="S7" i="18" s="1"/>
  <c r="Q8" i="18"/>
  <c r="S8" i="18" s="1"/>
  <c r="Q30" i="18"/>
  <c r="S30" i="18" s="1"/>
  <c r="Q31" i="18"/>
  <c r="S31" i="18" s="1"/>
  <c r="Q32" i="18"/>
  <c r="S32" i="18" s="1"/>
  <c r="N32" i="17" l="1"/>
  <c r="L32" i="17"/>
  <c r="K32" i="17"/>
  <c r="J32" i="17"/>
  <c r="O32" i="17" s="1"/>
  <c r="L31" i="17"/>
  <c r="N31" i="17" s="1"/>
  <c r="K31" i="17"/>
  <c r="J31" i="17"/>
  <c r="O31" i="17" s="1"/>
  <c r="L30" i="17"/>
  <c r="K30" i="17"/>
  <c r="N30" i="17" s="1"/>
  <c r="J30" i="17"/>
  <c r="O30" i="17" s="1"/>
  <c r="L29" i="17"/>
  <c r="N29" i="17" s="1"/>
  <c r="Q29" i="17" s="1"/>
  <c r="S29" i="17" s="1"/>
  <c r="K29" i="17"/>
  <c r="J29" i="17"/>
  <c r="O29" i="17" s="1"/>
  <c r="N26" i="17"/>
  <c r="L26" i="17"/>
  <c r="K26" i="17"/>
  <c r="J26" i="17"/>
  <c r="O26" i="17" s="1"/>
  <c r="L25" i="17"/>
  <c r="N25" i="17" s="1"/>
  <c r="K25" i="17"/>
  <c r="J25" i="17"/>
  <c r="O25" i="17" s="1"/>
  <c r="L24" i="17"/>
  <c r="K24" i="17"/>
  <c r="N24" i="17" s="1"/>
  <c r="J24" i="17"/>
  <c r="O24" i="17" s="1"/>
  <c r="L23" i="17"/>
  <c r="N23" i="17" s="1"/>
  <c r="Q23" i="17" s="1"/>
  <c r="S23" i="17" s="1"/>
  <c r="K23" i="17"/>
  <c r="J23" i="17"/>
  <c r="O23" i="17" s="1"/>
  <c r="N20" i="17"/>
  <c r="Q20" i="17" s="1"/>
  <c r="S20" i="17" s="1"/>
  <c r="L20" i="17"/>
  <c r="K20" i="17"/>
  <c r="J20" i="17"/>
  <c r="O20" i="17" s="1"/>
  <c r="L19" i="17"/>
  <c r="N19" i="17" s="1"/>
  <c r="Q19" i="17" s="1"/>
  <c r="S19" i="17" s="1"/>
  <c r="K19" i="17"/>
  <c r="J19" i="17"/>
  <c r="O19" i="17" s="1"/>
  <c r="L18" i="17"/>
  <c r="K18" i="17"/>
  <c r="N18" i="17" s="1"/>
  <c r="Q18" i="17" s="1"/>
  <c r="S18" i="17" s="1"/>
  <c r="J18" i="17"/>
  <c r="O18" i="17" s="1"/>
  <c r="L17" i="17"/>
  <c r="N17" i="17" s="1"/>
  <c r="Q17" i="17" s="1"/>
  <c r="S17" i="17" s="1"/>
  <c r="K17" i="17"/>
  <c r="J17" i="17"/>
  <c r="O17" i="17" s="1"/>
  <c r="N14" i="17"/>
  <c r="Q14" i="17" s="1"/>
  <c r="S14" i="17" s="1"/>
  <c r="L14" i="17"/>
  <c r="K14" i="17"/>
  <c r="J14" i="17"/>
  <c r="O14" i="17" s="1"/>
  <c r="L13" i="17"/>
  <c r="N13" i="17" s="1"/>
  <c r="Q13" i="17" s="1"/>
  <c r="S13" i="17" s="1"/>
  <c r="K13" i="17"/>
  <c r="J13" i="17"/>
  <c r="O13" i="17" s="1"/>
  <c r="L12" i="17"/>
  <c r="K12" i="17"/>
  <c r="N12" i="17" s="1"/>
  <c r="Q12" i="17" s="1"/>
  <c r="S12" i="17" s="1"/>
  <c r="J12" i="17"/>
  <c r="O12" i="17" s="1"/>
  <c r="L11" i="17"/>
  <c r="N11" i="17" s="1"/>
  <c r="Q11" i="17" s="1"/>
  <c r="S11" i="17" s="1"/>
  <c r="K11" i="17"/>
  <c r="J11" i="17"/>
  <c r="O11" i="17" s="1"/>
  <c r="N8" i="17"/>
  <c r="L8" i="17"/>
  <c r="K8" i="17"/>
  <c r="J8" i="17"/>
  <c r="O8" i="17" s="1"/>
  <c r="L7" i="17"/>
  <c r="N7" i="17" s="1"/>
  <c r="K7" i="17"/>
  <c r="J7" i="17"/>
  <c r="O7" i="17" s="1"/>
  <c r="L6" i="17"/>
  <c r="K6" i="17"/>
  <c r="N6" i="17" s="1"/>
  <c r="J6" i="17"/>
  <c r="O6" i="17" s="1"/>
  <c r="L5" i="17"/>
  <c r="N5" i="17" s="1"/>
  <c r="Q5" i="17" s="1"/>
  <c r="S5" i="17" s="1"/>
  <c r="K5" i="17"/>
  <c r="J5" i="17"/>
  <c r="O5" i="17" s="1"/>
  <c r="Q24" i="17" l="1"/>
  <c r="S24" i="17" s="1"/>
  <c r="Q25" i="17"/>
  <c r="S25" i="17" s="1"/>
  <c r="Q26" i="17"/>
  <c r="S26" i="17" s="1"/>
  <c r="Q6" i="17"/>
  <c r="S6" i="17" s="1"/>
  <c r="Q7" i="17"/>
  <c r="S7" i="17" s="1"/>
  <c r="Q8" i="17"/>
  <c r="S8" i="17" s="1"/>
  <c r="Q30" i="17"/>
  <c r="S30" i="17" s="1"/>
  <c r="Q31" i="17"/>
  <c r="S31" i="17" s="1"/>
  <c r="Q32" i="17"/>
  <c r="S32" i="17" s="1"/>
  <c r="L32" i="15" l="1"/>
  <c r="K32" i="15"/>
  <c r="J32" i="15"/>
  <c r="O32" i="15" s="1"/>
  <c r="N31" i="15"/>
  <c r="L31" i="15"/>
  <c r="K31" i="15"/>
  <c r="J31" i="15"/>
  <c r="O31" i="15" s="1"/>
  <c r="L30" i="15"/>
  <c r="N30" i="15" s="1"/>
  <c r="K30" i="15"/>
  <c r="J30" i="15"/>
  <c r="O30" i="15" s="1"/>
  <c r="L29" i="15"/>
  <c r="N29" i="15" s="1"/>
  <c r="Q29" i="15" s="1"/>
  <c r="S29" i="15" s="1"/>
  <c r="K29" i="15"/>
  <c r="J29" i="15"/>
  <c r="O29" i="15" s="1"/>
  <c r="L26" i="15"/>
  <c r="K26" i="15"/>
  <c r="J26" i="15"/>
  <c r="N26" i="15" s="1"/>
  <c r="N25" i="15"/>
  <c r="L25" i="15"/>
  <c r="K25" i="15"/>
  <c r="J25" i="15"/>
  <c r="O25" i="15" s="1"/>
  <c r="L24" i="15"/>
  <c r="N24" i="15" s="1"/>
  <c r="Q24" i="15" s="1"/>
  <c r="S24" i="15" s="1"/>
  <c r="K24" i="15"/>
  <c r="J24" i="15"/>
  <c r="O24" i="15" s="1"/>
  <c r="L23" i="15"/>
  <c r="N23" i="15" s="1"/>
  <c r="Q23" i="15" s="1"/>
  <c r="S23" i="15" s="1"/>
  <c r="K23" i="15"/>
  <c r="J23" i="15"/>
  <c r="O23" i="15" s="1"/>
  <c r="L20" i="15"/>
  <c r="K20" i="15"/>
  <c r="J20" i="15"/>
  <c r="O20" i="15" s="1"/>
  <c r="N19" i="15"/>
  <c r="Q19" i="15" s="1"/>
  <c r="S19" i="15" s="1"/>
  <c r="L19" i="15"/>
  <c r="K19" i="15"/>
  <c r="J19" i="15"/>
  <c r="O19" i="15" s="1"/>
  <c r="L18" i="15"/>
  <c r="N18" i="15" s="1"/>
  <c r="Q18" i="15" s="1"/>
  <c r="S18" i="15" s="1"/>
  <c r="K18" i="15"/>
  <c r="J18" i="15"/>
  <c r="O18" i="15" s="1"/>
  <c r="L17" i="15"/>
  <c r="N17" i="15" s="1"/>
  <c r="Q17" i="15" s="1"/>
  <c r="S17" i="15" s="1"/>
  <c r="K17" i="15"/>
  <c r="J17" i="15"/>
  <c r="O17" i="15" s="1"/>
  <c r="L14" i="15"/>
  <c r="K14" i="15"/>
  <c r="J14" i="15"/>
  <c r="O14" i="15" s="1"/>
  <c r="N13" i="15"/>
  <c r="Q13" i="15" s="1"/>
  <c r="S13" i="15" s="1"/>
  <c r="L13" i="15"/>
  <c r="K13" i="15"/>
  <c r="J13" i="15"/>
  <c r="O13" i="15" s="1"/>
  <c r="L12" i="15"/>
  <c r="N12" i="15" s="1"/>
  <c r="Q12" i="15" s="1"/>
  <c r="S12" i="15" s="1"/>
  <c r="K12" i="15"/>
  <c r="J12" i="15"/>
  <c r="O12" i="15" s="1"/>
  <c r="L11" i="15"/>
  <c r="N11" i="15" s="1"/>
  <c r="Q11" i="15" s="1"/>
  <c r="S11" i="15" s="1"/>
  <c r="K11" i="15"/>
  <c r="J11" i="15"/>
  <c r="O11" i="15" s="1"/>
  <c r="L8" i="15"/>
  <c r="K8" i="15"/>
  <c r="J8" i="15"/>
  <c r="N8" i="15" s="1"/>
  <c r="N7" i="15"/>
  <c r="L7" i="15"/>
  <c r="K7" i="15"/>
  <c r="J7" i="15"/>
  <c r="O7" i="15" s="1"/>
  <c r="L6" i="15"/>
  <c r="N6" i="15" s="1"/>
  <c r="K6" i="15"/>
  <c r="J6" i="15"/>
  <c r="O6" i="15" s="1"/>
  <c r="L5" i="15"/>
  <c r="N5" i="15" s="1"/>
  <c r="Q5" i="15" s="1"/>
  <c r="S5" i="15" s="1"/>
  <c r="K5" i="15"/>
  <c r="J5" i="15"/>
  <c r="O5" i="15" s="1"/>
  <c r="Q6" i="15" l="1"/>
  <c r="S6" i="15" s="1"/>
  <c r="Q7" i="15"/>
  <c r="S7" i="15" s="1"/>
  <c r="Q26" i="15"/>
  <c r="S26" i="15" s="1"/>
  <c r="Q30" i="15"/>
  <c r="S30" i="15" s="1"/>
  <c r="Q31" i="15"/>
  <c r="S31" i="15" s="1"/>
  <c r="Q8" i="15"/>
  <c r="S8" i="15" s="1"/>
  <c r="Q25" i="15"/>
  <c r="S25" i="15" s="1"/>
  <c r="O8" i="15"/>
  <c r="O26" i="15"/>
  <c r="N14" i="15"/>
  <c r="Q14" i="15" s="1"/>
  <c r="S14" i="15" s="1"/>
  <c r="N20" i="15"/>
  <c r="Q20" i="15" s="1"/>
  <c r="S20" i="15" s="1"/>
  <c r="N32" i="15"/>
  <c r="Q32" i="15" s="1"/>
  <c r="S32" i="15" s="1"/>
  <c r="D9" i="14" l="1"/>
  <c r="C9" i="14"/>
  <c r="B9" i="14"/>
  <c r="T29" i="13" l="1"/>
  <c r="Q29" i="13"/>
  <c r="N29" i="13"/>
  <c r="K29" i="13"/>
  <c r="H29" i="13"/>
  <c r="E29" i="13"/>
  <c r="T28" i="13"/>
  <c r="Q28" i="13"/>
  <c r="N28" i="13"/>
  <c r="K28" i="13"/>
  <c r="H28" i="13"/>
  <c r="E28" i="13"/>
  <c r="T27" i="13"/>
  <c r="Q27" i="13"/>
  <c r="N27" i="13"/>
  <c r="K27" i="13"/>
  <c r="H27" i="13"/>
  <c r="E27" i="13"/>
  <c r="T26" i="13"/>
  <c r="Q26" i="13"/>
  <c r="N26" i="13"/>
  <c r="K26" i="13"/>
  <c r="H26" i="13"/>
  <c r="E26" i="13"/>
  <c r="T25" i="13"/>
  <c r="T31" i="13" s="1"/>
  <c r="Q25" i="13"/>
  <c r="Q31" i="13" s="1"/>
  <c r="N25" i="13"/>
  <c r="N31" i="13" s="1"/>
  <c r="K25" i="13"/>
  <c r="K30" i="13" s="1"/>
  <c r="H25" i="13"/>
  <c r="H30" i="13" s="1"/>
  <c r="E25" i="13"/>
  <c r="E31" i="13" s="1"/>
  <c r="T19" i="13"/>
  <c r="Q19" i="13"/>
  <c r="N19" i="13"/>
  <c r="K19" i="13"/>
  <c r="H19" i="13"/>
  <c r="E19" i="13"/>
  <c r="T18" i="13"/>
  <c r="Q18" i="13"/>
  <c r="N18" i="13"/>
  <c r="K18" i="13"/>
  <c r="H18" i="13"/>
  <c r="E18" i="13"/>
  <c r="T17" i="13"/>
  <c r="Q17" i="13"/>
  <c r="N17" i="13"/>
  <c r="K17" i="13"/>
  <c r="H17" i="13"/>
  <c r="E17" i="13"/>
  <c r="T16" i="13"/>
  <c r="Q16" i="13"/>
  <c r="N16" i="13"/>
  <c r="K16" i="13"/>
  <c r="H16" i="13"/>
  <c r="E16" i="13"/>
  <c r="T15" i="13"/>
  <c r="T21" i="13" s="1"/>
  <c r="Q15" i="13"/>
  <c r="Q20" i="13" s="1"/>
  <c r="N15" i="13"/>
  <c r="N20" i="13" s="1"/>
  <c r="K15" i="13"/>
  <c r="K21" i="13" s="1"/>
  <c r="H15" i="13"/>
  <c r="H21" i="13" s="1"/>
  <c r="E15" i="13"/>
  <c r="E20" i="13" s="1"/>
  <c r="T9" i="13"/>
  <c r="Q9" i="13"/>
  <c r="N9" i="13"/>
  <c r="K9" i="13"/>
  <c r="H9" i="13"/>
  <c r="E9" i="13"/>
  <c r="T8" i="13"/>
  <c r="Q8" i="13"/>
  <c r="N8" i="13"/>
  <c r="K8" i="13"/>
  <c r="H8" i="13"/>
  <c r="E8" i="13"/>
  <c r="T7" i="13"/>
  <c r="Q7" i="13"/>
  <c r="N7" i="13"/>
  <c r="K7" i="13"/>
  <c r="H7" i="13"/>
  <c r="E7" i="13"/>
  <c r="T6" i="13"/>
  <c r="Q6" i="13"/>
  <c r="N6" i="13"/>
  <c r="K6" i="13"/>
  <c r="H6" i="13"/>
  <c r="E6" i="13"/>
  <c r="T5" i="13"/>
  <c r="T10" i="13" s="1"/>
  <c r="Q5" i="13"/>
  <c r="Q11" i="13" s="1"/>
  <c r="N5" i="13"/>
  <c r="N11" i="13" s="1"/>
  <c r="K5" i="13"/>
  <c r="K10" i="13" s="1"/>
  <c r="H5" i="13"/>
  <c r="H10" i="13" s="1"/>
  <c r="E5" i="13"/>
  <c r="E11" i="13" s="1"/>
  <c r="N10" i="13" l="1"/>
  <c r="H11" i="13"/>
  <c r="T11" i="13"/>
  <c r="H20" i="13"/>
  <c r="T20" i="13"/>
  <c r="N21" i="13"/>
  <c r="N30" i="13"/>
  <c r="H31" i="13"/>
  <c r="E10" i="13"/>
  <c r="Q10" i="13"/>
  <c r="K11" i="13"/>
  <c r="K20" i="13"/>
  <c r="E21" i="13"/>
  <c r="Q21" i="13"/>
  <c r="E30" i="13"/>
  <c r="Q30" i="13"/>
  <c r="K31" i="13"/>
  <c r="T30" i="13"/>
  <c r="J39" i="11" l="1"/>
  <c r="I39" i="11"/>
  <c r="H39" i="11"/>
  <c r="G39" i="11"/>
  <c r="F39" i="11"/>
  <c r="E39" i="11"/>
  <c r="D39" i="11"/>
  <c r="J38" i="11"/>
  <c r="I38" i="11"/>
  <c r="H38" i="11"/>
  <c r="G38" i="11"/>
  <c r="F38" i="11"/>
  <c r="E38" i="11"/>
  <c r="D38" i="11"/>
  <c r="J30" i="11"/>
  <c r="I30" i="11"/>
  <c r="H30" i="11"/>
  <c r="G30" i="11"/>
  <c r="F30" i="11"/>
  <c r="E30" i="11"/>
  <c r="D30" i="11"/>
  <c r="J29" i="11"/>
  <c r="I29" i="11"/>
  <c r="H29" i="11"/>
  <c r="G29" i="11"/>
  <c r="F29" i="11"/>
  <c r="E29" i="11"/>
  <c r="D29" i="11"/>
  <c r="J21" i="11"/>
  <c r="I21" i="11"/>
  <c r="H21" i="11"/>
  <c r="G21" i="11"/>
  <c r="F21" i="11"/>
  <c r="E21" i="11"/>
  <c r="D21" i="11"/>
  <c r="J20" i="11"/>
  <c r="I20" i="11"/>
  <c r="H20" i="11"/>
  <c r="G20" i="11"/>
  <c r="F20" i="11"/>
  <c r="E20" i="11"/>
  <c r="D20" i="11"/>
  <c r="J11" i="11"/>
  <c r="I11" i="11"/>
  <c r="H11" i="11"/>
  <c r="G11" i="11"/>
  <c r="F11" i="11"/>
  <c r="E11" i="11"/>
  <c r="D11" i="11"/>
  <c r="J10" i="11"/>
  <c r="I10" i="11"/>
  <c r="H10" i="11"/>
  <c r="G10" i="11"/>
  <c r="F10" i="11"/>
  <c r="E10" i="11"/>
  <c r="D10" i="11"/>
  <c r="T45" i="9" l="1"/>
  <c r="P45" i="9"/>
  <c r="L45" i="9"/>
  <c r="T39" i="9"/>
  <c r="T47" i="9" s="1"/>
  <c r="P39" i="9"/>
  <c r="P47" i="9" s="1"/>
  <c r="L39" i="9"/>
  <c r="L47" i="9" s="1"/>
  <c r="K39" i="9"/>
  <c r="K47" i="9" s="1"/>
  <c r="H39" i="9"/>
  <c r="T38" i="9"/>
  <c r="T46" i="9" s="1"/>
  <c r="P38" i="9"/>
  <c r="P46" i="9" s="1"/>
  <c r="L38" i="9"/>
  <c r="L46" i="9" s="1"/>
  <c r="H38" i="9"/>
  <c r="T37" i="9"/>
  <c r="P37" i="9"/>
  <c r="N37" i="9"/>
  <c r="N45" i="9" s="1"/>
  <c r="M37" i="9"/>
  <c r="M45" i="9" s="1"/>
  <c r="L37" i="9"/>
  <c r="I37" i="9"/>
  <c r="I45" i="9" s="1"/>
  <c r="H37" i="9"/>
  <c r="T36" i="9"/>
  <c r="T44" i="9" s="1"/>
  <c r="P36" i="9"/>
  <c r="P44" i="9" s="1"/>
  <c r="M36" i="9"/>
  <c r="M44" i="9" s="1"/>
  <c r="L36" i="9"/>
  <c r="L44" i="9" s="1"/>
  <c r="H36" i="9"/>
  <c r="E32" i="9"/>
  <c r="W29" i="9"/>
  <c r="W39" i="9" s="1"/>
  <c r="W47" i="9" s="1"/>
  <c r="V29" i="9"/>
  <c r="V39" i="9" s="1"/>
  <c r="V47" i="9" s="1"/>
  <c r="U29" i="9"/>
  <c r="U39" i="9" s="1"/>
  <c r="U47" i="9" s="1"/>
  <c r="S29" i="9"/>
  <c r="S39" i="9" s="1"/>
  <c r="S47" i="9" s="1"/>
  <c r="R29" i="9"/>
  <c r="R39" i="9" s="1"/>
  <c r="R47" i="9" s="1"/>
  <c r="Q29" i="9"/>
  <c r="Q39" i="9" s="1"/>
  <c r="Q47" i="9" s="1"/>
  <c r="O29" i="9"/>
  <c r="O39" i="9" s="1"/>
  <c r="O47" i="9" s="1"/>
  <c r="N29" i="9"/>
  <c r="N39" i="9" s="1"/>
  <c r="N47" i="9" s="1"/>
  <c r="M29" i="9"/>
  <c r="M39" i="9" s="1"/>
  <c r="M47" i="9" s="1"/>
  <c r="K29" i="9"/>
  <c r="J29" i="9"/>
  <c r="J39" i="9" s="1"/>
  <c r="J47" i="9" s="1"/>
  <c r="I29" i="9"/>
  <c r="I39" i="9" s="1"/>
  <c r="I47" i="9" s="1"/>
  <c r="I54" i="9" s="1"/>
  <c r="G29" i="9"/>
  <c r="G39" i="9" s="1"/>
  <c r="G47" i="9" s="1"/>
  <c r="F29" i="9"/>
  <c r="F39" i="9" s="1"/>
  <c r="F47" i="9" s="1"/>
  <c r="E29" i="9"/>
  <c r="E39" i="9" s="1"/>
  <c r="E47" i="9" s="1"/>
  <c r="W28" i="9"/>
  <c r="W38" i="9" s="1"/>
  <c r="W46" i="9" s="1"/>
  <c r="V28" i="9"/>
  <c r="V38" i="9" s="1"/>
  <c r="V46" i="9" s="1"/>
  <c r="U28" i="9"/>
  <c r="U38" i="9" s="1"/>
  <c r="U46" i="9" s="1"/>
  <c r="S28" i="9"/>
  <c r="S38" i="9" s="1"/>
  <c r="S46" i="9" s="1"/>
  <c r="R28" i="9"/>
  <c r="R38" i="9" s="1"/>
  <c r="R46" i="9" s="1"/>
  <c r="Q28" i="9"/>
  <c r="Q38" i="9" s="1"/>
  <c r="Q46" i="9" s="1"/>
  <c r="O28" i="9"/>
  <c r="O38" i="9" s="1"/>
  <c r="O46" i="9" s="1"/>
  <c r="N28" i="9"/>
  <c r="N38" i="9" s="1"/>
  <c r="N46" i="9" s="1"/>
  <c r="M28" i="9"/>
  <c r="M38" i="9" s="1"/>
  <c r="M46" i="9" s="1"/>
  <c r="K28" i="9"/>
  <c r="K38" i="9" s="1"/>
  <c r="K46" i="9" s="1"/>
  <c r="J28" i="9"/>
  <c r="J38" i="9" s="1"/>
  <c r="J46" i="9" s="1"/>
  <c r="I28" i="9"/>
  <c r="I38" i="9" s="1"/>
  <c r="I46" i="9" s="1"/>
  <c r="G28" i="9"/>
  <c r="G38" i="9" s="1"/>
  <c r="G46" i="9" s="1"/>
  <c r="F28" i="9"/>
  <c r="F38" i="9" s="1"/>
  <c r="F46" i="9" s="1"/>
  <c r="E28" i="9"/>
  <c r="E38" i="9" s="1"/>
  <c r="E46" i="9" s="1"/>
  <c r="W27" i="9"/>
  <c r="W37" i="9" s="1"/>
  <c r="W45" i="9" s="1"/>
  <c r="V27" i="9"/>
  <c r="V37" i="9" s="1"/>
  <c r="V45" i="9" s="1"/>
  <c r="U27" i="9"/>
  <c r="U37" i="9" s="1"/>
  <c r="U45" i="9" s="1"/>
  <c r="S27" i="9"/>
  <c r="S37" i="9" s="1"/>
  <c r="S45" i="9" s="1"/>
  <c r="R27" i="9"/>
  <c r="R37" i="9" s="1"/>
  <c r="R45" i="9" s="1"/>
  <c r="Q27" i="9"/>
  <c r="Q37" i="9" s="1"/>
  <c r="Q45" i="9" s="1"/>
  <c r="O27" i="9"/>
  <c r="O37" i="9" s="1"/>
  <c r="O45" i="9" s="1"/>
  <c r="N27" i="9"/>
  <c r="M27" i="9"/>
  <c r="K27" i="9"/>
  <c r="K37" i="9" s="1"/>
  <c r="K45" i="9" s="1"/>
  <c r="J27" i="9"/>
  <c r="J37" i="9" s="1"/>
  <c r="J45" i="9" s="1"/>
  <c r="I27" i="9"/>
  <c r="G27" i="9"/>
  <c r="G37" i="9" s="1"/>
  <c r="G45" i="9" s="1"/>
  <c r="F27" i="9"/>
  <c r="F37" i="9" s="1"/>
  <c r="F45" i="9" s="1"/>
  <c r="E27" i="9"/>
  <c r="E37" i="9" s="1"/>
  <c r="E45" i="9" s="1"/>
  <c r="W26" i="9"/>
  <c r="W36" i="9" s="1"/>
  <c r="W44" i="9" s="1"/>
  <c r="V26" i="9"/>
  <c r="V36" i="9" s="1"/>
  <c r="V44" i="9" s="1"/>
  <c r="U26" i="9"/>
  <c r="U36" i="9" s="1"/>
  <c r="U44" i="9" s="1"/>
  <c r="S26" i="9"/>
  <c r="S36" i="9" s="1"/>
  <c r="S44" i="9" s="1"/>
  <c r="R26" i="9"/>
  <c r="R36" i="9" s="1"/>
  <c r="R44" i="9" s="1"/>
  <c r="Q26" i="9"/>
  <c r="Q36" i="9" s="1"/>
  <c r="Q44" i="9" s="1"/>
  <c r="O26" i="9"/>
  <c r="O36" i="9" s="1"/>
  <c r="O44" i="9" s="1"/>
  <c r="N26" i="9"/>
  <c r="N36" i="9" s="1"/>
  <c r="N44" i="9" s="1"/>
  <c r="M26" i="9"/>
  <c r="K26" i="9"/>
  <c r="K36" i="9" s="1"/>
  <c r="K44" i="9" s="1"/>
  <c r="J26" i="9"/>
  <c r="J36" i="9" s="1"/>
  <c r="J44" i="9" s="1"/>
  <c r="I26" i="9"/>
  <c r="I36" i="9" s="1"/>
  <c r="I44" i="9" s="1"/>
  <c r="G26" i="9"/>
  <c r="G36" i="9" s="1"/>
  <c r="G44" i="9" s="1"/>
  <c r="F26" i="9"/>
  <c r="F36" i="9" s="1"/>
  <c r="F44" i="9" s="1"/>
  <c r="E26" i="9"/>
  <c r="E36" i="9" s="1"/>
  <c r="E44" i="9" s="1"/>
  <c r="J35" i="8"/>
  <c r="I35" i="8"/>
  <c r="W34" i="8"/>
  <c r="S34" i="8"/>
  <c r="R34" i="8"/>
  <c r="G34" i="8"/>
  <c r="G33" i="8"/>
  <c r="Q32" i="8"/>
  <c r="F32" i="8"/>
  <c r="E29" i="8"/>
  <c r="W26" i="8"/>
  <c r="W35" i="8" s="1"/>
  <c r="V26" i="8"/>
  <c r="V35" i="8" s="1"/>
  <c r="U26" i="8"/>
  <c r="U35" i="8" s="1"/>
  <c r="S26" i="8"/>
  <c r="S35" i="8" s="1"/>
  <c r="R26" i="8"/>
  <c r="R35" i="8" s="1"/>
  <c r="Q26" i="8"/>
  <c r="Q35" i="8" s="1"/>
  <c r="O26" i="8"/>
  <c r="O35" i="8" s="1"/>
  <c r="N26" i="8"/>
  <c r="N35" i="8" s="1"/>
  <c r="M26" i="8"/>
  <c r="M35" i="8" s="1"/>
  <c r="K26" i="8"/>
  <c r="K35" i="8" s="1"/>
  <c r="J26" i="8"/>
  <c r="I26" i="8"/>
  <c r="G26" i="8"/>
  <c r="G35" i="8" s="1"/>
  <c r="F26" i="8"/>
  <c r="F35" i="8" s="1"/>
  <c r="E26" i="8"/>
  <c r="E35" i="8" s="1"/>
  <c r="E42" i="8" s="1"/>
  <c r="W25" i="8"/>
  <c r="V25" i="8"/>
  <c r="V34" i="8" s="1"/>
  <c r="U25" i="8"/>
  <c r="U34" i="8" s="1"/>
  <c r="U41" i="8" s="1"/>
  <c r="S25" i="8"/>
  <c r="R25" i="8"/>
  <c r="Q25" i="8"/>
  <c r="Q34" i="8" s="1"/>
  <c r="Q41" i="8" s="1"/>
  <c r="O25" i="8"/>
  <c r="O34" i="8" s="1"/>
  <c r="N25" i="8"/>
  <c r="N34" i="8" s="1"/>
  <c r="M25" i="8"/>
  <c r="M34" i="8" s="1"/>
  <c r="K25" i="8"/>
  <c r="K34" i="8" s="1"/>
  <c r="J25" i="8"/>
  <c r="J34" i="8" s="1"/>
  <c r="I25" i="8"/>
  <c r="I34" i="8" s="1"/>
  <c r="G25" i="8"/>
  <c r="F25" i="8"/>
  <c r="F34" i="8" s="1"/>
  <c r="E25" i="8"/>
  <c r="E34" i="8" s="1"/>
  <c r="W24" i="8"/>
  <c r="W33" i="8" s="1"/>
  <c r="V24" i="8"/>
  <c r="V33" i="8" s="1"/>
  <c r="U24" i="8"/>
  <c r="U33" i="8" s="1"/>
  <c r="S24" i="8"/>
  <c r="S33" i="8" s="1"/>
  <c r="R24" i="8"/>
  <c r="R33" i="8" s="1"/>
  <c r="Q24" i="8"/>
  <c r="Q33" i="8" s="1"/>
  <c r="Q40" i="8" s="1"/>
  <c r="O24" i="8"/>
  <c r="O33" i="8" s="1"/>
  <c r="N24" i="8"/>
  <c r="N33" i="8" s="1"/>
  <c r="M24" i="8"/>
  <c r="M33" i="8" s="1"/>
  <c r="M40" i="8" s="1"/>
  <c r="K24" i="8"/>
  <c r="K33" i="8" s="1"/>
  <c r="J24" i="8"/>
  <c r="J33" i="8" s="1"/>
  <c r="I24" i="8"/>
  <c r="I33" i="8" s="1"/>
  <c r="G24" i="8"/>
  <c r="F24" i="8"/>
  <c r="F33" i="8" s="1"/>
  <c r="E24" i="8"/>
  <c r="E33" i="8" s="1"/>
  <c r="W23" i="8"/>
  <c r="W32" i="8" s="1"/>
  <c r="V23" i="8"/>
  <c r="V32" i="8" s="1"/>
  <c r="U23" i="8"/>
  <c r="U32" i="8" s="1"/>
  <c r="S23" i="8"/>
  <c r="S32" i="8" s="1"/>
  <c r="R23" i="8"/>
  <c r="R32" i="8" s="1"/>
  <c r="Q23" i="8"/>
  <c r="O23" i="8"/>
  <c r="O32" i="8" s="1"/>
  <c r="N23" i="8"/>
  <c r="N32" i="8" s="1"/>
  <c r="M23" i="8"/>
  <c r="M32" i="8" s="1"/>
  <c r="K23" i="8"/>
  <c r="K32" i="8" s="1"/>
  <c r="J23" i="8"/>
  <c r="J32" i="8" s="1"/>
  <c r="I23" i="8"/>
  <c r="I32" i="8" s="1"/>
  <c r="G23" i="8"/>
  <c r="G32" i="8" s="1"/>
  <c r="F23" i="8"/>
  <c r="E23" i="8"/>
  <c r="E32" i="8" s="1"/>
  <c r="K25" i="7"/>
  <c r="K35" i="7" s="1"/>
  <c r="M25" i="7"/>
  <c r="M35" i="7" s="1"/>
  <c r="N25" i="7"/>
  <c r="N35" i="7" s="1"/>
  <c r="O25" i="7"/>
  <c r="O35" i="7" s="1"/>
  <c r="K26" i="7"/>
  <c r="K36" i="7" s="1"/>
  <c r="M26" i="7"/>
  <c r="M36" i="7" s="1"/>
  <c r="N26" i="7"/>
  <c r="N36" i="7" s="1"/>
  <c r="O26" i="7"/>
  <c r="O36" i="7" s="1"/>
  <c r="K27" i="7"/>
  <c r="M27" i="7"/>
  <c r="M37" i="7" s="1"/>
  <c r="N27" i="7"/>
  <c r="N37" i="7" s="1"/>
  <c r="O27" i="7"/>
  <c r="O37" i="7" s="1"/>
  <c r="M24" i="7"/>
  <c r="M34" i="7" s="1"/>
  <c r="N24" i="7"/>
  <c r="N34" i="7" s="1"/>
  <c r="O24" i="7"/>
  <c r="O34" i="7" s="1"/>
  <c r="K37" i="7"/>
  <c r="E31" i="7"/>
  <c r="W27" i="7"/>
  <c r="W37" i="7" s="1"/>
  <c r="V27" i="7"/>
  <c r="V37" i="7" s="1"/>
  <c r="U27" i="7"/>
  <c r="U37" i="7" s="1"/>
  <c r="S27" i="7"/>
  <c r="S37" i="7" s="1"/>
  <c r="R27" i="7"/>
  <c r="R37" i="7" s="1"/>
  <c r="Q27" i="7"/>
  <c r="Q37" i="7" s="1"/>
  <c r="J27" i="7"/>
  <c r="J37" i="7" s="1"/>
  <c r="I27" i="7"/>
  <c r="I37" i="7" s="1"/>
  <c r="G27" i="7"/>
  <c r="G37" i="7" s="1"/>
  <c r="F27" i="7"/>
  <c r="F37" i="7" s="1"/>
  <c r="E27" i="7"/>
  <c r="E37" i="7" s="1"/>
  <c r="W26" i="7"/>
  <c r="W36" i="7" s="1"/>
  <c r="V26" i="7"/>
  <c r="V36" i="7" s="1"/>
  <c r="U26" i="7"/>
  <c r="U36" i="7" s="1"/>
  <c r="S26" i="7"/>
  <c r="S36" i="7" s="1"/>
  <c r="R26" i="7"/>
  <c r="R36" i="7" s="1"/>
  <c r="Q26" i="7"/>
  <c r="Q36" i="7" s="1"/>
  <c r="J26" i="7"/>
  <c r="J36" i="7" s="1"/>
  <c r="I26" i="7"/>
  <c r="I36" i="7" s="1"/>
  <c r="G26" i="7"/>
  <c r="G36" i="7" s="1"/>
  <c r="F26" i="7"/>
  <c r="F36" i="7" s="1"/>
  <c r="E26" i="7"/>
  <c r="E36" i="7" s="1"/>
  <c r="W25" i="7"/>
  <c r="W35" i="7" s="1"/>
  <c r="V25" i="7"/>
  <c r="V35" i="7" s="1"/>
  <c r="U25" i="7"/>
  <c r="U35" i="7" s="1"/>
  <c r="S25" i="7"/>
  <c r="S35" i="7" s="1"/>
  <c r="R25" i="7"/>
  <c r="R35" i="7" s="1"/>
  <c r="Q25" i="7"/>
  <c r="Q35" i="7" s="1"/>
  <c r="J25" i="7"/>
  <c r="J35" i="7" s="1"/>
  <c r="I25" i="7"/>
  <c r="I35" i="7" s="1"/>
  <c r="G25" i="7"/>
  <c r="G35" i="7" s="1"/>
  <c r="F25" i="7"/>
  <c r="F35" i="7" s="1"/>
  <c r="E25" i="7"/>
  <c r="E35" i="7" s="1"/>
  <c r="W24" i="7"/>
  <c r="W34" i="7" s="1"/>
  <c r="V24" i="7"/>
  <c r="V34" i="7" s="1"/>
  <c r="U24" i="7"/>
  <c r="U34" i="7" s="1"/>
  <c r="S24" i="7"/>
  <c r="S34" i="7" s="1"/>
  <c r="R24" i="7"/>
  <c r="R34" i="7" s="1"/>
  <c r="Q24" i="7"/>
  <c r="Q34" i="7" s="1"/>
  <c r="K24" i="7"/>
  <c r="K34" i="7" s="1"/>
  <c r="J24" i="7"/>
  <c r="J34" i="7" s="1"/>
  <c r="I24" i="7"/>
  <c r="I34" i="7" s="1"/>
  <c r="G24" i="7"/>
  <c r="G34" i="7" s="1"/>
  <c r="F24" i="7"/>
  <c r="F34" i="7" s="1"/>
  <c r="E24" i="7"/>
  <c r="E34" i="7" s="1"/>
  <c r="W35" i="6"/>
  <c r="V35" i="6"/>
  <c r="U35" i="6"/>
  <c r="S35" i="6"/>
  <c r="R35" i="6"/>
  <c r="Q35" i="6"/>
  <c r="O35" i="6"/>
  <c r="N35" i="6"/>
  <c r="M35" i="6"/>
  <c r="K35" i="6"/>
  <c r="J35" i="6"/>
  <c r="I35" i="6"/>
  <c r="G35" i="6"/>
  <c r="F35" i="6"/>
  <c r="E35" i="6"/>
  <c r="W34" i="6"/>
  <c r="V34" i="6"/>
  <c r="U34" i="6"/>
  <c r="S34" i="6"/>
  <c r="R34" i="6"/>
  <c r="Q34" i="6"/>
  <c r="O34" i="6"/>
  <c r="N34" i="6"/>
  <c r="M34" i="6"/>
  <c r="K34" i="6"/>
  <c r="J34" i="6"/>
  <c r="I34" i="6"/>
  <c r="G34" i="6"/>
  <c r="F34" i="6"/>
  <c r="E34" i="6"/>
  <c r="W33" i="6"/>
  <c r="V33" i="6"/>
  <c r="U33" i="6"/>
  <c r="S33" i="6"/>
  <c r="R33" i="6"/>
  <c r="Q33" i="6"/>
  <c r="O33" i="6"/>
  <c r="N33" i="6"/>
  <c r="M33" i="6"/>
  <c r="K33" i="6"/>
  <c r="J33" i="6"/>
  <c r="I33" i="6"/>
  <c r="G33" i="6"/>
  <c r="F33" i="6"/>
  <c r="E33" i="6"/>
  <c r="W32" i="6"/>
  <c r="V32" i="6"/>
  <c r="U32" i="6"/>
  <c r="S32" i="6"/>
  <c r="R32" i="6"/>
  <c r="Q32" i="6"/>
  <c r="O32" i="6"/>
  <c r="N32" i="6"/>
  <c r="M32" i="6"/>
  <c r="K32" i="6"/>
  <c r="J32" i="6"/>
  <c r="I32" i="6"/>
  <c r="G32" i="6"/>
  <c r="F32" i="6"/>
  <c r="E32" i="6"/>
  <c r="W24" i="6"/>
  <c r="W41" i="6" s="1"/>
  <c r="W48" i="6" s="1"/>
  <c r="V24" i="6"/>
  <c r="V41" i="6" s="1"/>
  <c r="V48" i="6" s="1"/>
  <c r="U24" i="6"/>
  <c r="U41" i="6" s="1"/>
  <c r="U48" i="6" s="1"/>
  <c r="U54" i="6" s="1"/>
  <c r="S24" i="6"/>
  <c r="S41" i="6" s="1"/>
  <c r="S48" i="6" s="1"/>
  <c r="R24" i="6"/>
  <c r="R41" i="6" s="1"/>
  <c r="R48" i="6" s="1"/>
  <c r="Q24" i="6"/>
  <c r="Q41" i="6" s="1"/>
  <c r="Q48" i="6" s="1"/>
  <c r="O24" i="6"/>
  <c r="O41" i="6" s="1"/>
  <c r="O48" i="6" s="1"/>
  <c r="N24" i="6"/>
  <c r="N41" i="6" s="1"/>
  <c r="N48" i="6" s="1"/>
  <c r="M24" i="6"/>
  <c r="M41" i="6" s="1"/>
  <c r="M48" i="6" s="1"/>
  <c r="K24" i="6"/>
  <c r="K41" i="6" s="1"/>
  <c r="K48" i="6" s="1"/>
  <c r="J24" i="6"/>
  <c r="J41" i="6" s="1"/>
  <c r="J48" i="6" s="1"/>
  <c r="I24" i="6"/>
  <c r="I41" i="6" s="1"/>
  <c r="I48" i="6" s="1"/>
  <c r="I54" i="6" s="1"/>
  <c r="G24" i="6"/>
  <c r="G41" i="6" s="1"/>
  <c r="G48" i="6" s="1"/>
  <c r="F24" i="6"/>
  <c r="F41" i="6" s="1"/>
  <c r="F48" i="6" s="1"/>
  <c r="E24" i="6"/>
  <c r="E41" i="6" s="1"/>
  <c r="E48" i="6" s="1"/>
  <c r="E54" i="6" s="1"/>
  <c r="W23" i="6"/>
  <c r="W40" i="6" s="1"/>
  <c r="W47" i="6" s="1"/>
  <c r="V23" i="6"/>
  <c r="V40" i="6" s="1"/>
  <c r="V47" i="6" s="1"/>
  <c r="U23" i="6"/>
  <c r="U40" i="6" s="1"/>
  <c r="U47" i="6" s="1"/>
  <c r="S23" i="6"/>
  <c r="S40" i="6" s="1"/>
  <c r="S47" i="6" s="1"/>
  <c r="R23" i="6"/>
  <c r="R40" i="6" s="1"/>
  <c r="R47" i="6" s="1"/>
  <c r="Q23" i="6"/>
  <c r="Q40" i="6" s="1"/>
  <c r="Q47" i="6" s="1"/>
  <c r="O23" i="6"/>
  <c r="O40" i="6" s="1"/>
  <c r="O47" i="6" s="1"/>
  <c r="N23" i="6"/>
  <c r="N40" i="6" s="1"/>
  <c r="N47" i="6" s="1"/>
  <c r="M23" i="6"/>
  <c r="M40" i="6" s="1"/>
  <c r="M47" i="6" s="1"/>
  <c r="K23" i="6"/>
  <c r="K40" i="6" s="1"/>
  <c r="K47" i="6" s="1"/>
  <c r="J23" i="6"/>
  <c r="J40" i="6" s="1"/>
  <c r="J47" i="6" s="1"/>
  <c r="I23" i="6"/>
  <c r="I40" i="6" s="1"/>
  <c r="I47" i="6" s="1"/>
  <c r="I53" i="6" s="1"/>
  <c r="G23" i="6"/>
  <c r="G40" i="6" s="1"/>
  <c r="G47" i="6" s="1"/>
  <c r="F23" i="6"/>
  <c r="F40" i="6" s="1"/>
  <c r="F47" i="6" s="1"/>
  <c r="E23" i="6"/>
  <c r="E40" i="6" s="1"/>
  <c r="E47" i="6" s="1"/>
  <c r="W22" i="6"/>
  <c r="W39" i="6" s="1"/>
  <c r="W46" i="6" s="1"/>
  <c r="V22" i="6"/>
  <c r="V39" i="6" s="1"/>
  <c r="V46" i="6" s="1"/>
  <c r="U22" i="6"/>
  <c r="U39" i="6" s="1"/>
  <c r="U46" i="6" s="1"/>
  <c r="S22" i="6"/>
  <c r="S39" i="6" s="1"/>
  <c r="S46" i="6" s="1"/>
  <c r="R22" i="6"/>
  <c r="R39" i="6" s="1"/>
  <c r="R46" i="6" s="1"/>
  <c r="Q22" i="6"/>
  <c r="Q39" i="6" s="1"/>
  <c r="Q46" i="6" s="1"/>
  <c r="O22" i="6"/>
  <c r="O39" i="6" s="1"/>
  <c r="O46" i="6" s="1"/>
  <c r="N22" i="6"/>
  <c r="N39" i="6" s="1"/>
  <c r="N46" i="6" s="1"/>
  <c r="M22" i="6"/>
  <c r="M39" i="6" s="1"/>
  <c r="M46" i="6" s="1"/>
  <c r="K22" i="6"/>
  <c r="K39" i="6" s="1"/>
  <c r="K46" i="6" s="1"/>
  <c r="J22" i="6"/>
  <c r="J39" i="6" s="1"/>
  <c r="J46" i="6" s="1"/>
  <c r="I22" i="6"/>
  <c r="I39" i="6" s="1"/>
  <c r="I46" i="6" s="1"/>
  <c r="G22" i="6"/>
  <c r="G39" i="6" s="1"/>
  <c r="G46" i="6" s="1"/>
  <c r="F22" i="6"/>
  <c r="F39" i="6" s="1"/>
  <c r="F46" i="6" s="1"/>
  <c r="E22" i="6"/>
  <c r="E39" i="6" s="1"/>
  <c r="E46" i="6" s="1"/>
  <c r="W21" i="6"/>
  <c r="W38" i="6" s="1"/>
  <c r="W45" i="6" s="1"/>
  <c r="V21" i="6"/>
  <c r="V38" i="6" s="1"/>
  <c r="V45" i="6" s="1"/>
  <c r="U21" i="6"/>
  <c r="U38" i="6" s="1"/>
  <c r="U45" i="6" s="1"/>
  <c r="U51" i="6" s="1"/>
  <c r="S21" i="6"/>
  <c r="S38" i="6" s="1"/>
  <c r="S45" i="6" s="1"/>
  <c r="R21" i="6"/>
  <c r="R38" i="6" s="1"/>
  <c r="R45" i="6" s="1"/>
  <c r="Q21" i="6"/>
  <c r="Q38" i="6" s="1"/>
  <c r="Q45" i="6" s="1"/>
  <c r="Q51" i="6" s="1"/>
  <c r="O21" i="6"/>
  <c r="O38" i="6" s="1"/>
  <c r="O45" i="6" s="1"/>
  <c r="N21" i="6"/>
  <c r="N38" i="6" s="1"/>
  <c r="N45" i="6" s="1"/>
  <c r="M21" i="6"/>
  <c r="M38" i="6" s="1"/>
  <c r="M45" i="6" s="1"/>
  <c r="K21" i="6"/>
  <c r="K38" i="6" s="1"/>
  <c r="K45" i="6" s="1"/>
  <c r="J21" i="6"/>
  <c r="J38" i="6" s="1"/>
  <c r="J45" i="6" s="1"/>
  <c r="I21" i="6"/>
  <c r="I38" i="6" s="1"/>
  <c r="I45" i="6" s="1"/>
  <c r="G21" i="6"/>
  <c r="G38" i="6" s="1"/>
  <c r="G45" i="6" s="1"/>
  <c r="F21" i="6"/>
  <c r="F38" i="6" s="1"/>
  <c r="F45" i="6" s="1"/>
  <c r="E21" i="6"/>
  <c r="E38" i="6" s="1"/>
  <c r="E45" i="6" s="1"/>
  <c r="E51" i="6" s="1"/>
  <c r="R35" i="5"/>
  <c r="R41" i="5" s="1"/>
  <c r="N32" i="5"/>
  <c r="N38" i="5" s="1"/>
  <c r="E27" i="5"/>
  <c r="W23" i="5"/>
  <c r="W35" i="5" s="1"/>
  <c r="W41" i="5" s="1"/>
  <c r="V23" i="5"/>
  <c r="V35" i="5" s="1"/>
  <c r="V41" i="5" s="1"/>
  <c r="U23" i="5"/>
  <c r="U35" i="5" s="1"/>
  <c r="U41" i="5" s="1"/>
  <c r="S23" i="5"/>
  <c r="S35" i="5" s="1"/>
  <c r="S41" i="5" s="1"/>
  <c r="R23" i="5"/>
  <c r="Q23" i="5"/>
  <c r="Q35" i="5" s="1"/>
  <c r="Q41" i="5" s="1"/>
  <c r="O23" i="5"/>
  <c r="O35" i="5" s="1"/>
  <c r="O41" i="5" s="1"/>
  <c r="N23" i="5"/>
  <c r="N35" i="5" s="1"/>
  <c r="N41" i="5" s="1"/>
  <c r="M23" i="5"/>
  <c r="M35" i="5" s="1"/>
  <c r="M41" i="5" s="1"/>
  <c r="K23" i="5"/>
  <c r="K35" i="5" s="1"/>
  <c r="K41" i="5" s="1"/>
  <c r="J23" i="5"/>
  <c r="J35" i="5" s="1"/>
  <c r="J41" i="5" s="1"/>
  <c r="I23" i="5"/>
  <c r="I35" i="5" s="1"/>
  <c r="I41" i="5" s="1"/>
  <c r="I48" i="5" s="1"/>
  <c r="G23" i="5"/>
  <c r="G35" i="5" s="1"/>
  <c r="G41" i="5" s="1"/>
  <c r="F23" i="5"/>
  <c r="F35" i="5" s="1"/>
  <c r="F41" i="5" s="1"/>
  <c r="E23" i="5"/>
  <c r="E35" i="5" s="1"/>
  <c r="E41" i="5" s="1"/>
  <c r="W22" i="5"/>
  <c r="W34" i="5" s="1"/>
  <c r="W40" i="5" s="1"/>
  <c r="V22" i="5"/>
  <c r="V34" i="5" s="1"/>
  <c r="V40" i="5" s="1"/>
  <c r="U22" i="5"/>
  <c r="U34" i="5" s="1"/>
  <c r="U40" i="5" s="1"/>
  <c r="S22" i="5"/>
  <c r="S34" i="5" s="1"/>
  <c r="S40" i="5" s="1"/>
  <c r="R22" i="5"/>
  <c r="R34" i="5" s="1"/>
  <c r="R40" i="5" s="1"/>
  <c r="Q22" i="5"/>
  <c r="Q34" i="5" s="1"/>
  <c r="Q40" i="5" s="1"/>
  <c r="O22" i="5"/>
  <c r="O34" i="5" s="1"/>
  <c r="O40" i="5" s="1"/>
  <c r="N22" i="5"/>
  <c r="N34" i="5" s="1"/>
  <c r="N40" i="5" s="1"/>
  <c r="M22" i="5"/>
  <c r="M34" i="5" s="1"/>
  <c r="M40" i="5" s="1"/>
  <c r="M47" i="5" s="1"/>
  <c r="K22" i="5"/>
  <c r="K34" i="5" s="1"/>
  <c r="K40" i="5" s="1"/>
  <c r="J22" i="5"/>
  <c r="J34" i="5" s="1"/>
  <c r="J40" i="5" s="1"/>
  <c r="I22" i="5"/>
  <c r="I34" i="5" s="1"/>
  <c r="I40" i="5" s="1"/>
  <c r="G22" i="5"/>
  <c r="G34" i="5" s="1"/>
  <c r="G40" i="5" s="1"/>
  <c r="F22" i="5"/>
  <c r="F34" i="5" s="1"/>
  <c r="F40" i="5" s="1"/>
  <c r="E22" i="5"/>
  <c r="E34" i="5" s="1"/>
  <c r="E40" i="5" s="1"/>
  <c r="W21" i="5"/>
  <c r="W33" i="5" s="1"/>
  <c r="W39" i="5" s="1"/>
  <c r="V21" i="5"/>
  <c r="V33" i="5" s="1"/>
  <c r="V39" i="5" s="1"/>
  <c r="U21" i="5"/>
  <c r="U33" i="5" s="1"/>
  <c r="U39" i="5" s="1"/>
  <c r="U46" i="5" s="1"/>
  <c r="S21" i="5"/>
  <c r="S33" i="5" s="1"/>
  <c r="S39" i="5" s="1"/>
  <c r="R21" i="5"/>
  <c r="R33" i="5" s="1"/>
  <c r="R39" i="5" s="1"/>
  <c r="Q21" i="5"/>
  <c r="Q33" i="5" s="1"/>
  <c r="Q39" i="5" s="1"/>
  <c r="Q46" i="5" s="1"/>
  <c r="O21" i="5"/>
  <c r="O33" i="5" s="1"/>
  <c r="O39" i="5" s="1"/>
  <c r="N21" i="5"/>
  <c r="N33" i="5" s="1"/>
  <c r="N39" i="5" s="1"/>
  <c r="M21" i="5"/>
  <c r="M33" i="5" s="1"/>
  <c r="M39" i="5" s="1"/>
  <c r="K21" i="5"/>
  <c r="K33" i="5" s="1"/>
  <c r="K39" i="5" s="1"/>
  <c r="J21" i="5"/>
  <c r="J33" i="5" s="1"/>
  <c r="J39" i="5" s="1"/>
  <c r="I21" i="5"/>
  <c r="I33" i="5" s="1"/>
  <c r="I39" i="5" s="1"/>
  <c r="G21" i="5"/>
  <c r="G33" i="5" s="1"/>
  <c r="G39" i="5" s="1"/>
  <c r="F21" i="5"/>
  <c r="F33" i="5" s="1"/>
  <c r="F39" i="5" s="1"/>
  <c r="E21" i="5"/>
  <c r="E33" i="5" s="1"/>
  <c r="E39" i="5" s="1"/>
  <c r="W20" i="5"/>
  <c r="W32" i="5" s="1"/>
  <c r="W38" i="5" s="1"/>
  <c r="V20" i="5"/>
  <c r="V32" i="5" s="1"/>
  <c r="V38" i="5" s="1"/>
  <c r="U20" i="5"/>
  <c r="U32" i="5" s="1"/>
  <c r="U38" i="5" s="1"/>
  <c r="U45" i="5" s="1"/>
  <c r="S20" i="5"/>
  <c r="S32" i="5" s="1"/>
  <c r="S38" i="5" s="1"/>
  <c r="R20" i="5"/>
  <c r="R32" i="5" s="1"/>
  <c r="R38" i="5" s="1"/>
  <c r="Q20" i="5"/>
  <c r="Q32" i="5" s="1"/>
  <c r="Q38" i="5" s="1"/>
  <c r="O20" i="5"/>
  <c r="O32" i="5" s="1"/>
  <c r="O38" i="5" s="1"/>
  <c r="N20" i="5"/>
  <c r="M20" i="5"/>
  <c r="M32" i="5" s="1"/>
  <c r="M38" i="5" s="1"/>
  <c r="K20" i="5"/>
  <c r="K32" i="5" s="1"/>
  <c r="K38" i="5" s="1"/>
  <c r="J20" i="5"/>
  <c r="J32" i="5" s="1"/>
  <c r="J38" i="5" s="1"/>
  <c r="I20" i="5"/>
  <c r="I32" i="5" s="1"/>
  <c r="I38" i="5" s="1"/>
  <c r="G20" i="5"/>
  <c r="G32" i="5" s="1"/>
  <c r="G38" i="5" s="1"/>
  <c r="F20" i="5"/>
  <c r="F32" i="5" s="1"/>
  <c r="F38" i="5" s="1"/>
  <c r="E20" i="5"/>
  <c r="E32" i="5" s="1"/>
  <c r="E38" i="5" s="1"/>
  <c r="E45" i="5" s="1"/>
  <c r="E39" i="8" l="1"/>
  <c r="E43" i="7"/>
  <c r="E42" i="7"/>
  <c r="M54" i="9"/>
  <c r="I53" i="9"/>
  <c r="U53" i="9"/>
  <c r="Q54" i="9"/>
  <c r="E53" i="9"/>
  <c r="Q52" i="9"/>
  <c r="M53" i="9"/>
  <c r="M52" i="9"/>
  <c r="U52" i="9"/>
  <c r="M51" i="9"/>
  <c r="E51" i="9"/>
  <c r="U51" i="9"/>
  <c r="Q51" i="9"/>
  <c r="E54" i="9"/>
  <c r="U54" i="9"/>
  <c r="I52" i="9"/>
  <c r="Q53" i="9"/>
  <c r="E52" i="9"/>
  <c r="I51" i="9"/>
  <c r="U40" i="8"/>
  <c r="Q42" i="8"/>
  <c r="M42" i="8"/>
  <c r="M39" i="8"/>
  <c r="I42" i="8"/>
  <c r="I40" i="8"/>
  <c r="I39" i="8"/>
  <c r="E41" i="8"/>
  <c r="E40" i="8"/>
  <c r="U39" i="8"/>
  <c r="M41" i="8"/>
  <c r="Q39" i="8"/>
  <c r="I41" i="8"/>
  <c r="U42" i="8"/>
  <c r="U42" i="7"/>
  <c r="U40" i="7"/>
  <c r="Q43" i="7"/>
  <c r="I41" i="7"/>
  <c r="M41" i="7"/>
  <c r="M40" i="7"/>
  <c r="E40" i="7"/>
  <c r="Q41" i="7"/>
  <c r="M42" i="7"/>
  <c r="I43" i="7"/>
  <c r="E41" i="7"/>
  <c r="Q42" i="7"/>
  <c r="Q40" i="7"/>
  <c r="I42" i="7"/>
  <c r="U43" i="7"/>
  <c r="I40" i="7"/>
  <c r="U41" i="7"/>
  <c r="M43" i="7"/>
  <c r="Q52" i="6"/>
  <c r="M53" i="6"/>
  <c r="M52" i="6"/>
  <c r="M51" i="6"/>
  <c r="I52" i="6"/>
  <c r="E53" i="6"/>
  <c r="U53" i="6"/>
  <c r="Q54" i="6"/>
  <c r="I51" i="6"/>
  <c r="E52" i="6"/>
  <c r="U52" i="6"/>
  <c r="Q53" i="6"/>
  <c r="M54" i="6"/>
  <c r="M46" i="5"/>
  <c r="I47" i="5"/>
  <c r="E46" i="5"/>
  <c r="Q45" i="5"/>
  <c r="E48" i="5"/>
  <c r="U48" i="5"/>
  <c r="I45" i="5"/>
  <c r="M48" i="5"/>
  <c r="M45" i="5"/>
  <c r="I46" i="5"/>
  <c r="E47" i="5"/>
  <c r="U47" i="5"/>
  <c r="Q48" i="5"/>
  <c r="Q47" i="5"/>
  <c r="BU57" i="2" l="1"/>
  <c r="BT57" i="2"/>
  <c r="BU56" i="2"/>
  <c r="BT56" i="2"/>
  <c r="BU55" i="2"/>
  <c r="BT55" i="2"/>
  <c r="BU54" i="2"/>
  <c r="BT54" i="2"/>
  <c r="BU53" i="2"/>
  <c r="BT53" i="2"/>
  <c r="BU52" i="2"/>
  <c r="BT52" i="2"/>
  <c r="BU51" i="2"/>
  <c r="BT51" i="2"/>
  <c r="BU50" i="2"/>
  <c r="BT50" i="2"/>
  <c r="BU49" i="2"/>
  <c r="BT49" i="2"/>
  <c r="BU48" i="2"/>
  <c r="BT48" i="2"/>
  <c r="BU47" i="2"/>
  <c r="BT47" i="2"/>
  <c r="BU46" i="2"/>
  <c r="BT46" i="2"/>
  <c r="BU45" i="2"/>
  <c r="BT45" i="2"/>
  <c r="BU44" i="2"/>
  <c r="BT44" i="2"/>
  <c r="BU43" i="2"/>
  <c r="BT43" i="2"/>
  <c r="BU42" i="2"/>
  <c r="BT42" i="2"/>
  <c r="BU41" i="2"/>
  <c r="BT41" i="2"/>
  <c r="BU40" i="2"/>
  <c r="BT40" i="2"/>
  <c r="BU39" i="2"/>
  <c r="BT39" i="2"/>
  <c r="BU38" i="2"/>
  <c r="BT38" i="2"/>
  <c r="BU37" i="2"/>
  <c r="BT37" i="2"/>
  <c r="BU36" i="2"/>
  <c r="BT36" i="2"/>
  <c r="BU35" i="2"/>
  <c r="BT35" i="2"/>
  <c r="BU34" i="2"/>
  <c r="BT34" i="2"/>
  <c r="BU33" i="2"/>
  <c r="BT33" i="2"/>
  <c r="BU32" i="2"/>
  <c r="BT32" i="2"/>
  <c r="BU31" i="2"/>
  <c r="BT31" i="2"/>
  <c r="BU30" i="2"/>
  <c r="BT30" i="2"/>
  <c r="BU29" i="2"/>
  <c r="BT29" i="2"/>
  <c r="BU28" i="2"/>
  <c r="BT28" i="2"/>
  <c r="BU27" i="2"/>
  <c r="BT27" i="2"/>
  <c r="BU26" i="2"/>
  <c r="BT26" i="2"/>
  <c r="BU25" i="2"/>
  <c r="BT25" i="2"/>
  <c r="BU24" i="2"/>
  <c r="BT24" i="2"/>
  <c r="BU23" i="2"/>
  <c r="BT23" i="2"/>
  <c r="BU22" i="2"/>
  <c r="BT22" i="2"/>
  <c r="BU21" i="2"/>
  <c r="BT21" i="2"/>
  <c r="BU20" i="2"/>
  <c r="BT20" i="2"/>
  <c r="BU19" i="2"/>
  <c r="BT19" i="2"/>
  <c r="BU18" i="2"/>
  <c r="BT18" i="2"/>
  <c r="BU17" i="2"/>
  <c r="BT17" i="2"/>
  <c r="BU16" i="2"/>
  <c r="BT16" i="2"/>
  <c r="BU15" i="2"/>
  <c r="BT15" i="2"/>
  <c r="BU14" i="2"/>
  <c r="BT14" i="2"/>
  <c r="BU13" i="2"/>
  <c r="BT13" i="2"/>
  <c r="BU12" i="2"/>
  <c r="BT12" i="2"/>
  <c r="BU11" i="2"/>
  <c r="BT11" i="2"/>
  <c r="BU10" i="2"/>
  <c r="BT10" i="2"/>
  <c r="BU9" i="2"/>
  <c r="BT9" i="2"/>
  <c r="BU8" i="2"/>
  <c r="BT8" i="2"/>
  <c r="BU7" i="2"/>
  <c r="BT7" i="2"/>
  <c r="BU6" i="2"/>
  <c r="BT6" i="2"/>
  <c r="BU5" i="2"/>
  <c r="BT5" i="2"/>
  <c r="AZ111" i="2" l="1"/>
  <c r="AY111" i="2"/>
  <c r="AX111" i="2"/>
  <c r="AW111" i="2"/>
  <c r="AV111" i="2"/>
  <c r="AU111" i="2"/>
  <c r="AT111" i="2"/>
  <c r="AS111" i="2"/>
  <c r="AR111" i="2"/>
  <c r="AQ111" i="2"/>
  <c r="AP111" i="2"/>
  <c r="AO111" i="2"/>
  <c r="AN111" i="2"/>
  <c r="AM111" i="2"/>
  <c r="AL111" i="2"/>
  <c r="BB111" i="2" s="1"/>
  <c r="AZ110" i="2"/>
  <c r="AY110" i="2"/>
  <c r="AX110" i="2"/>
  <c r="AW110" i="2"/>
  <c r="AV110" i="2"/>
  <c r="AU110" i="2"/>
  <c r="AT110" i="2"/>
  <c r="AS110" i="2"/>
  <c r="AR110" i="2"/>
  <c r="AQ110" i="2"/>
  <c r="AP110" i="2"/>
  <c r="AO110" i="2"/>
  <c r="AN110" i="2"/>
  <c r="BA110" i="2" s="1"/>
  <c r="AM110" i="2"/>
  <c r="AL110" i="2"/>
  <c r="BB110" i="2" s="1"/>
  <c r="AZ109" i="2"/>
  <c r="AY109" i="2"/>
  <c r="AX109" i="2"/>
  <c r="AW109" i="2"/>
  <c r="AV109" i="2"/>
  <c r="AU109" i="2"/>
  <c r="AT109" i="2"/>
  <c r="AS109" i="2"/>
  <c r="AR109" i="2"/>
  <c r="AQ109" i="2"/>
  <c r="AP109" i="2"/>
  <c r="AO109" i="2"/>
  <c r="BA109" i="2" s="1"/>
  <c r="AN109" i="2"/>
  <c r="AM109" i="2"/>
  <c r="AL109" i="2"/>
  <c r="BB109" i="2" s="1"/>
  <c r="AZ108" i="2"/>
  <c r="AY108" i="2"/>
  <c r="AX108" i="2"/>
  <c r="AW108" i="2"/>
  <c r="AV108" i="2"/>
  <c r="AU108" i="2"/>
  <c r="AT108" i="2"/>
  <c r="AS108" i="2"/>
  <c r="AR108" i="2"/>
  <c r="AQ108" i="2"/>
  <c r="AP108" i="2"/>
  <c r="AO108" i="2"/>
  <c r="AN108" i="2"/>
  <c r="AM108" i="2"/>
  <c r="AL108" i="2"/>
  <c r="BA108" i="2" s="1"/>
  <c r="AZ107" i="2"/>
  <c r="AY107" i="2"/>
  <c r="AX107" i="2"/>
  <c r="AW107" i="2"/>
  <c r="AV107" i="2"/>
  <c r="AU107" i="2"/>
  <c r="AT107" i="2"/>
  <c r="AS107" i="2"/>
  <c r="AR107" i="2"/>
  <c r="AQ107" i="2"/>
  <c r="AP107" i="2"/>
  <c r="AO107" i="2"/>
  <c r="AN107" i="2"/>
  <c r="AM107" i="2"/>
  <c r="AL107" i="2"/>
  <c r="BB107" i="2" s="1"/>
  <c r="AZ106" i="2"/>
  <c r="AY106" i="2"/>
  <c r="AX106" i="2"/>
  <c r="AW106" i="2"/>
  <c r="AV106" i="2"/>
  <c r="AU106" i="2"/>
  <c r="AT106" i="2"/>
  <c r="AS106" i="2"/>
  <c r="AR106" i="2"/>
  <c r="AQ106" i="2"/>
  <c r="AP106" i="2"/>
  <c r="AO106" i="2"/>
  <c r="AN106" i="2"/>
  <c r="BA106" i="2" s="1"/>
  <c r="AM106" i="2"/>
  <c r="AL106" i="2"/>
  <c r="BB106" i="2" s="1"/>
  <c r="AZ105" i="2"/>
  <c r="AY105" i="2"/>
  <c r="AX105" i="2"/>
  <c r="AW105" i="2"/>
  <c r="AV105" i="2"/>
  <c r="AU105" i="2"/>
  <c r="AT105" i="2"/>
  <c r="AS105" i="2"/>
  <c r="AR105" i="2"/>
  <c r="AQ105" i="2"/>
  <c r="AP105" i="2"/>
  <c r="AO105" i="2"/>
  <c r="BA105" i="2" s="1"/>
  <c r="AN105" i="2"/>
  <c r="AM105" i="2"/>
  <c r="AL105" i="2"/>
  <c r="BB105" i="2" s="1"/>
  <c r="AZ104" i="2"/>
  <c r="AY104" i="2"/>
  <c r="AX104" i="2"/>
  <c r="AW104" i="2"/>
  <c r="AV104" i="2"/>
  <c r="AU104" i="2"/>
  <c r="AT104" i="2"/>
  <c r="AS104" i="2"/>
  <c r="AR104" i="2"/>
  <c r="AQ104" i="2"/>
  <c r="AP104" i="2"/>
  <c r="AO104" i="2"/>
  <c r="AN104" i="2"/>
  <c r="AM104" i="2"/>
  <c r="AL104" i="2"/>
  <c r="BA104" i="2" s="1"/>
  <c r="AZ103" i="2"/>
  <c r="AY103" i="2"/>
  <c r="AX103" i="2"/>
  <c r="AW103" i="2"/>
  <c r="AV103" i="2"/>
  <c r="AU103" i="2"/>
  <c r="AT103" i="2"/>
  <c r="AS103" i="2"/>
  <c r="AR103" i="2"/>
  <c r="AQ103" i="2"/>
  <c r="AP103" i="2"/>
  <c r="AO103" i="2"/>
  <c r="AN103" i="2"/>
  <c r="AM103" i="2"/>
  <c r="AL103" i="2"/>
  <c r="BB103" i="2" s="1"/>
  <c r="AZ102" i="2"/>
  <c r="AY102" i="2"/>
  <c r="AX102" i="2"/>
  <c r="AW102" i="2"/>
  <c r="AV102" i="2"/>
  <c r="AU102" i="2"/>
  <c r="AT102" i="2"/>
  <c r="AS102" i="2"/>
  <c r="AR102" i="2"/>
  <c r="AQ102" i="2"/>
  <c r="AP102" i="2"/>
  <c r="AO102" i="2"/>
  <c r="AN102" i="2"/>
  <c r="BA102" i="2" s="1"/>
  <c r="AM102" i="2"/>
  <c r="AL102" i="2"/>
  <c r="BB102" i="2" s="1"/>
  <c r="AZ101" i="2"/>
  <c r="AY101" i="2"/>
  <c r="AX101" i="2"/>
  <c r="AW101" i="2"/>
  <c r="AV101" i="2"/>
  <c r="AU101" i="2"/>
  <c r="AT101" i="2"/>
  <c r="AS101" i="2"/>
  <c r="AR101" i="2"/>
  <c r="AQ101" i="2"/>
  <c r="AP101" i="2"/>
  <c r="AO101" i="2"/>
  <c r="BA101" i="2" s="1"/>
  <c r="AN101" i="2"/>
  <c r="AM101" i="2"/>
  <c r="AL101" i="2"/>
  <c r="BB101" i="2" s="1"/>
  <c r="AZ100" i="2"/>
  <c r="AY100" i="2"/>
  <c r="AX100" i="2"/>
  <c r="AW100" i="2"/>
  <c r="AV100" i="2"/>
  <c r="AU100" i="2"/>
  <c r="AT100" i="2"/>
  <c r="AS100" i="2"/>
  <c r="AR100" i="2"/>
  <c r="AQ100" i="2"/>
  <c r="AP100" i="2"/>
  <c r="AO100" i="2"/>
  <c r="AN100" i="2"/>
  <c r="AM100" i="2"/>
  <c r="AL100" i="2"/>
  <c r="BA100" i="2" s="1"/>
  <c r="AZ99" i="2"/>
  <c r="AY99" i="2"/>
  <c r="AX99" i="2"/>
  <c r="AW99" i="2"/>
  <c r="AV99" i="2"/>
  <c r="AU99" i="2"/>
  <c r="AT99" i="2"/>
  <c r="AS99" i="2"/>
  <c r="AR99" i="2"/>
  <c r="AQ99" i="2"/>
  <c r="AP99" i="2"/>
  <c r="AO99" i="2"/>
  <c r="AN99" i="2"/>
  <c r="AM99" i="2"/>
  <c r="AL99" i="2"/>
  <c r="BB99" i="2" s="1"/>
  <c r="AZ98" i="2"/>
  <c r="AY98" i="2"/>
  <c r="AX98" i="2"/>
  <c r="AW98" i="2"/>
  <c r="AV98" i="2"/>
  <c r="AU98" i="2"/>
  <c r="AT98" i="2"/>
  <c r="AS98" i="2"/>
  <c r="AR98" i="2"/>
  <c r="AQ98" i="2"/>
  <c r="AP98" i="2"/>
  <c r="AO98" i="2"/>
  <c r="AN98" i="2"/>
  <c r="BA98" i="2" s="1"/>
  <c r="AM98" i="2"/>
  <c r="AL98" i="2"/>
  <c r="BB98" i="2" s="1"/>
  <c r="AZ97" i="2"/>
  <c r="AY97" i="2"/>
  <c r="AX97" i="2"/>
  <c r="AW97" i="2"/>
  <c r="AV97" i="2"/>
  <c r="AU97" i="2"/>
  <c r="AT97" i="2"/>
  <c r="AS97" i="2"/>
  <c r="AR97" i="2"/>
  <c r="AQ97" i="2"/>
  <c r="AP97" i="2"/>
  <c r="AO97" i="2"/>
  <c r="BA97" i="2" s="1"/>
  <c r="AN97" i="2"/>
  <c r="AM97" i="2"/>
  <c r="AL97" i="2"/>
  <c r="BB97" i="2" s="1"/>
  <c r="AZ96" i="2"/>
  <c r="AY96" i="2"/>
  <c r="AX96" i="2"/>
  <c r="AW96" i="2"/>
  <c r="AV96" i="2"/>
  <c r="AU96" i="2"/>
  <c r="AT96" i="2"/>
  <c r="AS96" i="2"/>
  <c r="AR96" i="2"/>
  <c r="AQ96" i="2"/>
  <c r="AP96" i="2"/>
  <c r="AO96" i="2"/>
  <c r="AN96" i="2"/>
  <c r="AM96" i="2"/>
  <c r="AL96" i="2"/>
  <c r="BA96" i="2" s="1"/>
  <c r="AZ95" i="2"/>
  <c r="AY95" i="2"/>
  <c r="AX95" i="2"/>
  <c r="AW95" i="2"/>
  <c r="AV95" i="2"/>
  <c r="AU95" i="2"/>
  <c r="AT95" i="2"/>
  <c r="AS95" i="2"/>
  <c r="AR95" i="2"/>
  <c r="AQ95" i="2"/>
  <c r="AP95" i="2"/>
  <c r="AO95" i="2"/>
  <c r="AN95" i="2"/>
  <c r="AM95" i="2"/>
  <c r="AL95" i="2"/>
  <c r="BB95" i="2" s="1"/>
  <c r="AZ94" i="2"/>
  <c r="AY94" i="2"/>
  <c r="AX94" i="2"/>
  <c r="AW94" i="2"/>
  <c r="AV94" i="2"/>
  <c r="AU94" i="2"/>
  <c r="AT94" i="2"/>
  <c r="AS94" i="2"/>
  <c r="AR94" i="2"/>
  <c r="AQ94" i="2"/>
  <c r="AP94" i="2"/>
  <c r="AO94" i="2"/>
  <c r="AN94" i="2"/>
  <c r="BA94" i="2" s="1"/>
  <c r="AM94" i="2"/>
  <c r="AL94" i="2"/>
  <c r="BB94" i="2" s="1"/>
  <c r="AZ93" i="2"/>
  <c r="AY93" i="2"/>
  <c r="AX93" i="2"/>
  <c r="AW93" i="2"/>
  <c r="AV93" i="2"/>
  <c r="AU93" i="2"/>
  <c r="AT93" i="2"/>
  <c r="AS93" i="2"/>
  <c r="AR93" i="2"/>
  <c r="AQ93" i="2"/>
  <c r="AP93" i="2"/>
  <c r="AO93" i="2"/>
  <c r="BA93" i="2" s="1"/>
  <c r="AN93" i="2"/>
  <c r="AM93" i="2"/>
  <c r="AL93" i="2"/>
  <c r="BB93" i="2" s="1"/>
  <c r="AZ92" i="2"/>
  <c r="AY92" i="2"/>
  <c r="AX92" i="2"/>
  <c r="AW92" i="2"/>
  <c r="AV92" i="2"/>
  <c r="AU92" i="2"/>
  <c r="AT92" i="2"/>
  <c r="AS92" i="2"/>
  <c r="AR92" i="2"/>
  <c r="AQ92" i="2"/>
  <c r="AP92" i="2"/>
  <c r="AO92" i="2"/>
  <c r="AN92" i="2"/>
  <c r="AM92" i="2"/>
  <c r="AL92" i="2"/>
  <c r="BA92" i="2" s="1"/>
  <c r="AZ91" i="2"/>
  <c r="AY91" i="2"/>
  <c r="AX91" i="2"/>
  <c r="AW91" i="2"/>
  <c r="AV91" i="2"/>
  <c r="AU91" i="2"/>
  <c r="AT91" i="2"/>
  <c r="AS91" i="2"/>
  <c r="AR91" i="2"/>
  <c r="AQ91" i="2"/>
  <c r="AP91" i="2"/>
  <c r="AO91" i="2"/>
  <c r="AN91" i="2"/>
  <c r="AM91" i="2"/>
  <c r="AL91" i="2"/>
  <c r="BB91" i="2" s="1"/>
  <c r="AZ90" i="2"/>
  <c r="AY90" i="2"/>
  <c r="AX90" i="2"/>
  <c r="AW90" i="2"/>
  <c r="AV90" i="2"/>
  <c r="AU90" i="2"/>
  <c r="AT90" i="2"/>
  <c r="AS90" i="2"/>
  <c r="AR90" i="2"/>
  <c r="AQ90" i="2"/>
  <c r="AP90" i="2"/>
  <c r="AO90" i="2"/>
  <c r="AN90" i="2"/>
  <c r="BA90" i="2" s="1"/>
  <c r="AM90" i="2"/>
  <c r="AL90" i="2"/>
  <c r="BB90" i="2" s="1"/>
  <c r="AZ89" i="2"/>
  <c r="AY89" i="2"/>
  <c r="AX89" i="2"/>
  <c r="AW89" i="2"/>
  <c r="AV89" i="2"/>
  <c r="AU89" i="2"/>
  <c r="AT89" i="2"/>
  <c r="AS89" i="2"/>
  <c r="AR89" i="2"/>
  <c r="AQ89" i="2"/>
  <c r="AP89" i="2"/>
  <c r="AO89" i="2"/>
  <c r="BA89" i="2" s="1"/>
  <c r="AN89" i="2"/>
  <c r="AM89" i="2"/>
  <c r="AL89" i="2"/>
  <c r="BB89" i="2" s="1"/>
  <c r="AZ88" i="2"/>
  <c r="AY88" i="2"/>
  <c r="AX88" i="2"/>
  <c r="AW88" i="2"/>
  <c r="AV88" i="2"/>
  <c r="AU88" i="2"/>
  <c r="AT88" i="2"/>
  <c r="AS88" i="2"/>
  <c r="AR88" i="2"/>
  <c r="AQ88" i="2"/>
  <c r="AP88" i="2"/>
  <c r="AO88" i="2"/>
  <c r="AN88" i="2"/>
  <c r="AM88" i="2"/>
  <c r="AL88" i="2"/>
  <c r="BA88" i="2" s="1"/>
  <c r="AZ87" i="2"/>
  <c r="AY87" i="2"/>
  <c r="AX87" i="2"/>
  <c r="AW87" i="2"/>
  <c r="AV87" i="2"/>
  <c r="AU87" i="2"/>
  <c r="AT87" i="2"/>
  <c r="AS87" i="2"/>
  <c r="AR87" i="2"/>
  <c r="AQ87" i="2"/>
  <c r="AP87" i="2"/>
  <c r="AO87" i="2"/>
  <c r="AN87" i="2"/>
  <c r="AM87" i="2"/>
  <c r="AL87" i="2"/>
  <c r="BB87" i="2" s="1"/>
  <c r="AZ86" i="2"/>
  <c r="AY86" i="2"/>
  <c r="AX86" i="2"/>
  <c r="AW86" i="2"/>
  <c r="AV86" i="2"/>
  <c r="AU86" i="2"/>
  <c r="AT86" i="2"/>
  <c r="AS86" i="2"/>
  <c r="AR86" i="2"/>
  <c r="AQ86" i="2"/>
  <c r="AP86" i="2"/>
  <c r="AO86" i="2"/>
  <c r="AN86" i="2"/>
  <c r="BA86" i="2" s="1"/>
  <c r="AM86" i="2"/>
  <c r="AL86" i="2"/>
  <c r="BB86" i="2" s="1"/>
  <c r="AZ85" i="2"/>
  <c r="AY85" i="2"/>
  <c r="AX85" i="2"/>
  <c r="AW85" i="2"/>
  <c r="AV85" i="2"/>
  <c r="AU85" i="2"/>
  <c r="AT85" i="2"/>
  <c r="AS85" i="2"/>
  <c r="AR85" i="2"/>
  <c r="AQ85" i="2"/>
  <c r="AP85" i="2"/>
  <c r="AO85" i="2"/>
  <c r="BA85" i="2" s="1"/>
  <c r="AN85" i="2"/>
  <c r="AM85" i="2"/>
  <c r="AL85" i="2"/>
  <c r="BB85" i="2" s="1"/>
  <c r="AZ84" i="2"/>
  <c r="AY84" i="2"/>
  <c r="AX84" i="2"/>
  <c r="AW84" i="2"/>
  <c r="AV84" i="2"/>
  <c r="AU84" i="2"/>
  <c r="AT84" i="2"/>
  <c r="AS84" i="2"/>
  <c r="AR84" i="2"/>
  <c r="AQ84" i="2"/>
  <c r="AP84" i="2"/>
  <c r="AO84" i="2"/>
  <c r="AN84" i="2"/>
  <c r="AM84" i="2"/>
  <c r="AL84" i="2"/>
  <c r="BA84" i="2" s="1"/>
  <c r="AZ83" i="2"/>
  <c r="AY83" i="2"/>
  <c r="AX83" i="2"/>
  <c r="AW83" i="2"/>
  <c r="AV83" i="2"/>
  <c r="AU83" i="2"/>
  <c r="AT83" i="2"/>
  <c r="AS83" i="2"/>
  <c r="AR83" i="2"/>
  <c r="AQ83" i="2"/>
  <c r="AP83" i="2"/>
  <c r="AO83" i="2"/>
  <c r="AN83" i="2"/>
  <c r="AM83" i="2"/>
  <c r="AL83" i="2"/>
  <c r="BB83" i="2" s="1"/>
  <c r="AZ82" i="2"/>
  <c r="AY82" i="2"/>
  <c r="AX82" i="2"/>
  <c r="AW82" i="2"/>
  <c r="AV82" i="2"/>
  <c r="AU82" i="2"/>
  <c r="AT82" i="2"/>
  <c r="AS82" i="2"/>
  <c r="AR82" i="2"/>
  <c r="AQ82" i="2"/>
  <c r="AP82" i="2"/>
  <c r="AO82" i="2"/>
  <c r="AN82" i="2"/>
  <c r="BA82" i="2" s="1"/>
  <c r="AM82" i="2"/>
  <c r="AL82" i="2"/>
  <c r="BB82" i="2" s="1"/>
  <c r="AZ81" i="2"/>
  <c r="AY81" i="2"/>
  <c r="AX81" i="2"/>
  <c r="AW81" i="2"/>
  <c r="AV81" i="2"/>
  <c r="AU81" i="2"/>
  <c r="AT81" i="2"/>
  <c r="AS81" i="2"/>
  <c r="AR81" i="2"/>
  <c r="AQ81" i="2"/>
  <c r="AP81" i="2"/>
  <c r="AO81" i="2"/>
  <c r="BA81" i="2" s="1"/>
  <c r="AN81" i="2"/>
  <c r="AM81" i="2"/>
  <c r="AL81" i="2"/>
  <c r="BB81" i="2" s="1"/>
  <c r="AZ80" i="2"/>
  <c r="AY80" i="2"/>
  <c r="AX80" i="2"/>
  <c r="AW80" i="2"/>
  <c r="AV80" i="2"/>
  <c r="AU80" i="2"/>
  <c r="AT80" i="2"/>
  <c r="AS80" i="2"/>
  <c r="AR80" i="2"/>
  <c r="AQ80" i="2"/>
  <c r="AP80" i="2"/>
  <c r="AO80" i="2"/>
  <c r="AN80" i="2"/>
  <c r="AM80" i="2"/>
  <c r="AL80" i="2"/>
  <c r="BA80" i="2" s="1"/>
  <c r="AZ79" i="2"/>
  <c r="AY79" i="2"/>
  <c r="AX79" i="2"/>
  <c r="AW79" i="2"/>
  <c r="AV79" i="2"/>
  <c r="AU79" i="2"/>
  <c r="AT79" i="2"/>
  <c r="AS79" i="2"/>
  <c r="AR79" i="2"/>
  <c r="AQ79" i="2"/>
  <c r="AP79" i="2"/>
  <c r="AO79" i="2"/>
  <c r="AN79" i="2"/>
  <c r="AM79" i="2"/>
  <c r="AL79" i="2"/>
  <c r="BB79" i="2" s="1"/>
  <c r="AZ78" i="2"/>
  <c r="AY78" i="2"/>
  <c r="AX78" i="2"/>
  <c r="AW78" i="2"/>
  <c r="AV78" i="2"/>
  <c r="AU78" i="2"/>
  <c r="AT78" i="2"/>
  <c r="AS78" i="2"/>
  <c r="AR78" i="2"/>
  <c r="AQ78" i="2"/>
  <c r="AP78" i="2"/>
  <c r="AO78" i="2"/>
  <c r="AN78" i="2"/>
  <c r="BA78" i="2" s="1"/>
  <c r="AM78" i="2"/>
  <c r="AL78" i="2"/>
  <c r="BB78" i="2" s="1"/>
  <c r="AZ77" i="2"/>
  <c r="AY77" i="2"/>
  <c r="AX77" i="2"/>
  <c r="AW77" i="2"/>
  <c r="AV77" i="2"/>
  <c r="AU77" i="2"/>
  <c r="AT77" i="2"/>
  <c r="AS77" i="2"/>
  <c r="AR77" i="2"/>
  <c r="AQ77" i="2"/>
  <c r="AP77" i="2"/>
  <c r="AO77" i="2"/>
  <c r="BA77" i="2" s="1"/>
  <c r="AN77" i="2"/>
  <c r="AM77" i="2"/>
  <c r="AL77" i="2"/>
  <c r="BB77" i="2" s="1"/>
  <c r="AZ76" i="2"/>
  <c r="AY76" i="2"/>
  <c r="AX76" i="2"/>
  <c r="AW76" i="2"/>
  <c r="AV76" i="2"/>
  <c r="AU76" i="2"/>
  <c r="AT76" i="2"/>
  <c r="AS76" i="2"/>
  <c r="AR76" i="2"/>
  <c r="AQ76" i="2"/>
  <c r="AP76" i="2"/>
  <c r="AO76" i="2"/>
  <c r="AN76" i="2"/>
  <c r="AM76" i="2"/>
  <c r="AL76" i="2"/>
  <c r="BA76" i="2" s="1"/>
  <c r="AZ75" i="2"/>
  <c r="AY75" i="2"/>
  <c r="AX75" i="2"/>
  <c r="AW75" i="2"/>
  <c r="AV75" i="2"/>
  <c r="AU75" i="2"/>
  <c r="AT75" i="2"/>
  <c r="AS75" i="2"/>
  <c r="AR75" i="2"/>
  <c r="AQ75" i="2"/>
  <c r="AP75" i="2"/>
  <c r="AO75" i="2"/>
  <c r="AN75" i="2"/>
  <c r="AM75" i="2"/>
  <c r="AL75" i="2"/>
  <c r="BB75" i="2" s="1"/>
  <c r="AZ74" i="2"/>
  <c r="AY74" i="2"/>
  <c r="AX74" i="2"/>
  <c r="AW74" i="2"/>
  <c r="AV74" i="2"/>
  <c r="AU74" i="2"/>
  <c r="AT74" i="2"/>
  <c r="AS74" i="2"/>
  <c r="AR74" i="2"/>
  <c r="AQ74" i="2"/>
  <c r="AP74" i="2"/>
  <c r="AO74" i="2"/>
  <c r="AN74" i="2"/>
  <c r="BA74" i="2" s="1"/>
  <c r="AM74" i="2"/>
  <c r="AL74" i="2"/>
  <c r="BB74" i="2" s="1"/>
  <c r="AZ73" i="2"/>
  <c r="AY73" i="2"/>
  <c r="AX73" i="2"/>
  <c r="AW73" i="2"/>
  <c r="AV73" i="2"/>
  <c r="AU73" i="2"/>
  <c r="AT73" i="2"/>
  <c r="AS73" i="2"/>
  <c r="AR73" i="2"/>
  <c r="AQ73" i="2"/>
  <c r="AP73" i="2"/>
  <c r="AO73" i="2"/>
  <c r="BA73" i="2" s="1"/>
  <c r="AN73" i="2"/>
  <c r="AM73" i="2"/>
  <c r="AL73" i="2"/>
  <c r="BB73" i="2" s="1"/>
  <c r="AZ72" i="2"/>
  <c r="AY72" i="2"/>
  <c r="AX72" i="2"/>
  <c r="AW72" i="2"/>
  <c r="AV72" i="2"/>
  <c r="AU72" i="2"/>
  <c r="AT72" i="2"/>
  <c r="AS72" i="2"/>
  <c r="AR72" i="2"/>
  <c r="AQ72" i="2"/>
  <c r="AP72" i="2"/>
  <c r="AO72" i="2"/>
  <c r="AN72" i="2"/>
  <c r="AM72" i="2"/>
  <c r="AL72" i="2"/>
  <c r="BA72" i="2" s="1"/>
  <c r="AZ71" i="2"/>
  <c r="AY71" i="2"/>
  <c r="AX71" i="2"/>
  <c r="AW71" i="2"/>
  <c r="AV71" i="2"/>
  <c r="AU71" i="2"/>
  <c r="AT71" i="2"/>
  <c r="AS71" i="2"/>
  <c r="AR71" i="2"/>
  <c r="AQ71" i="2"/>
  <c r="AP71" i="2"/>
  <c r="AO71" i="2"/>
  <c r="AN71" i="2"/>
  <c r="AM71" i="2"/>
  <c r="AL71" i="2"/>
  <c r="BB71" i="2" s="1"/>
  <c r="AZ70" i="2"/>
  <c r="AY70" i="2"/>
  <c r="AX70" i="2"/>
  <c r="AW70" i="2"/>
  <c r="AV70" i="2"/>
  <c r="AU70" i="2"/>
  <c r="AT70" i="2"/>
  <c r="AS70" i="2"/>
  <c r="AR70" i="2"/>
  <c r="AQ70" i="2"/>
  <c r="AP70" i="2"/>
  <c r="AO70" i="2"/>
  <c r="AN70" i="2"/>
  <c r="BA70" i="2" s="1"/>
  <c r="AM70" i="2"/>
  <c r="AL70" i="2"/>
  <c r="BB70" i="2" s="1"/>
  <c r="AZ69" i="2"/>
  <c r="AY69" i="2"/>
  <c r="AX69" i="2"/>
  <c r="AW69" i="2"/>
  <c r="AV69" i="2"/>
  <c r="AU69" i="2"/>
  <c r="AT69" i="2"/>
  <c r="AS69" i="2"/>
  <c r="AR69" i="2"/>
  <c r="AQ69" i="2"/>
  <c r="AP69" i="2"/>
  <c r="AO69" i="2"/>
  <c r="BA69" i="2" s="1"/>
  <c r="AN69" i="2"/>
  <c r="AM69" i="2"/>
  <c r="AL69" i="2"/>
  <c r="BB69" i="2" s="1"/>
  <c r="AZ68" i="2"/>
  <c r="AY68" i="2"/>
  <c r="AX68" i="2"/>
  <c r="AW68" i="2"/>
  <c r="AV68" i="2"/>
  <c r="AU68" i="2"/>
  <c r="AT68" i="2"/>
  <c r="AS68" i="2"/>
  <c r="AR68" i="2"/>
  <c r="AQ68" i="2"/>
  <c r="AP68" i="2"/>
  <c r="AO68" i="2"/>
  <c r="AN68" i="2"/>
  <c r="AM68" i="2"/>
  <c r="AL68" i="2"/>
  <c r="BA68" i="2" s="1"/>
  <c r="AZ67" i="2"/>
  <c r="AY67" i="2"/>
  <c r="AX67" i="2"/>
  <c r="AW67" i="2"/>
  <c r="AV67" i="2"/>
  <c r="AU67" i="2"/>
  <c r="AT67" i="2"/>
  <c r="AS67" i="2"/>
  <c r="AR67" i="2"/>
  <c r="AQ67" i="2"/>
  <c r="AP67" i="2"/>
  <c r="AO67" i="2"/>
  <c r="AN67" i="2"/>
  <c r="AM67" i="2"/>
  <c r="AL67" i="2"/>
  <c r="BB67" i="2" s="1"/>
  <c r="AZ66" i="2"/>
  <c r="AY66" i="2"/>
  <c r="AX66" i="2"/>
  <c r="AW66" i="2"/>
  <c r="AV66" i="2"/>
  <c r="AU66" i="2"/>
  <c r="AT66" i="2"/>
  <c r="AS66" i="2"/>
  <c r="AR66" i="2"/>
  <c r="AQ66" i="2"/>
  <c r="AP66" i="2"/>
  <c r="AO66" i="2"/>
  <c r="AN66" i="2"/>
  <c r="BA66" i="2" s="1"/>
  <c r="AM66" i="2"/>
  <c r="AL66" i="2"/>
  <c r="BB66" i="2" s="1"/>
  <c r="AZ65" i="2"/>
  <c r="AY65" i="2"/>
  <c r="AX65" i="2"/>
  <c r="AW65" i="2"/>
  <c r="AV65" i="2"/>
  <c r="AU65" i="2"/>
  <c r="AT65" i="2"/>
  <c r="AS65" i="2"/>
  <c r="AR65" i="2"/>
  <c r="AQ65" i="2"/>
  <c r="AP65" i="2"/>
  <c r="AO65" i="2"/>
  <c r="BA65" i="2" s="1"/>
  <c r="AN65" i="2"/>
  <c r="AM65" i="2"/>
  <c r="AL65" i="2"/>
  <c r="BB65" i="2" s="1"/>
  <c r="AZ64" i="2"/>
  <c r="AY64" i="2"/>
  <c r="AX64" i="2"/>
  <c r="AW64" i="2"/>
  <c r="AV64" i="2"/>
  <c r="AU64" i="2"/>
  <c r="AT64" i="2"/>
  <c r="AS64" i="2"/>
  <c r="AR64" i="2"/>
  <c r="AQ64" i="2"/>
  <c r="AP64" i="2"/>
  <c r="AO64" i="2"/>
  <c r="AN64" i="2"/>
  <c r="AM64" i="2"/>
  <c r="AL64" i="2"/>
  <c r="BA64" i="2" s="1"/>
  <c r="AZ63" i="2"/>
  <c r="AY63" i="2"/>
  <c r="AX63" i="2"/>
  <c r="AW63" i="2"/>
  <c r="AV63" i="2"/>
  <c r="AU63" i="2"/>
  <c r="AT63" i="2"/>
  <c r="AS63" i="2"/>
  <c r="AR63" i="2"/>
  <c r="AQ63" i="2"/>
  <c r="AP63" i="2"/>
  <c r="AO63" i="2"/>
  <c r="AN63" i="2"/>
  <c r="AM63" i="2"/>
  <c r="AL63" i="2"/>
  <c r="BB63" i="2" s="1"/>
  <c r="AZ62" i="2"/>
  <c r="AY62" i="2"/>
  <c r="AX62" i="2"/>
  <c r="AW62" i="2"/>
  <c r="AV62" i="2"/>
  <c r="AU62" i="2"/>
  <c r="AT62" i="2"/>
  <c r="AS62" i="2"/>
  <c r="AR62" i="2"/>
  <c r="AQ62" i="2"/>
  <c r="AP62" i="2"/>
  <c r="AO62" i="2"/>
  <c r="AN62" i="2"/>
  <c r="BA62" i="2" s="1"/>
  <c r="AM62" i="2"/>
  <c r="AL62" i="2"/>
  <c r="BB62" i="2" s="1"/>
  <c r="AZ61" i="2"/>
  <c r="AY61" i="2"/>
  <c r="AX61" i="2"/>
  <c r="AW61" i="2"/>
  <c r="AV61" i="2"/>
  <c r="AU61" i="2"/>
  <c r="AT61" i="2"/>
  <c r="AS61" i="2"/>
  <c r="AR61" i="2"/>
  <c r="AQ61" i="2"/>
  <c r="AP61" i="2"/>
  <c r="AO61" i="2"/>
  <c r="BA61" i="2" s="1"/>
  <c r="AN61" i="2"/>
  <c r="AM61" i="2"/>
  <c r="AL61" i="2"/>
  <c r="BB61" i="2" s="1"/>
  <c r="AZ60" i="2"/>
  <c r="AY60" i="2"/>
  <c r="AX60" i="2"/>
  <c r="AW60" i="2"/>
  <c r="AV60" i="2"/>
  <c r="AU60" i="2"/>
  <c r="AT60" i="2"/>
  <c r="AS60" i="2"/>
  <c r="AR60" i="2"/>
  <c r="AQ60" i="2"/>
  <c r="AP60" i="2"/>
  <c r="AO60" i="2"/>
  <c r="AN60" i="2"/>
  <c r="AM60" i="2"/>
  <c r="AL60" i="2"/>
  <c r="BA60" i="2" s="1"/>
  <c r="AZ59" i="2"/>
  <c r="AY59" i="2"/>
  <c r="AX59" i="2"/>
  <c r="AW59" i="2"/>
  <c r="AV59" i="2"/>
  <c r="AU59" i="2"/>
  <c r="AT59" i="2"/>
  <c r="AS59" i="2"/>
  <c r="AR59" i="2"/>
  <c r="AQ59" i="2"/>
  <c r="AP59" i="2"/>
  <c r="AO59" i="2"/>
  <c r="AN59" i="2"/>
  <c r="AM59" i="2"/>
  <c r="AL59" i="2"/>
  <c r="BB59" i="2" s="1"/>
  <c r="BB57" i="2"/>
  <c r="BA57" i="2"/>
  <c r="BB56" i="2"/>
  <c r="BA56" i="2"/>
  <c r="BB55" i="2"/>
  <c r="BA55" i="2"/>
  <c r="BB54" i="2"/>
  <c r="BA54" i="2"/>
  <c r="BB53" i="2"/>
  <c r="BA53" i="2"/>
  <c r="BB52" i="2"/>
  <c r="BA52" i="2"/>
  <c r="BB51" i="2"/>
  <c r="BA51" i="2"/>
  <c r="BB50" i="2"/>
  <c r="BA50" i="2"/>
  <c r="BB49" i="2"/>
  <c r="BA49" i="2"/>
  <c r="BB48" i="2"/>
  <c r="BA48" i="2"/>
  <c r="BB47" i="2"/>
  <c r="BA47" i="2"/>
  <c r="BB46" i="2"/>
  <c r="BA46" i="2"/>
  <c r="BB45" i="2"/>
  <c r="BA45" i="2"/>
  <c r="BB44" i="2"/>
  <c r="BA44" i="2"/>
  <c r="BB43" i="2"/>
  <c r="BA43" i="2"/>
  <c r="BB42" i="2"/>
  <c r="BA42" i="2"/>
  <c r="BB41" i="2"/>
  <c r="BA41" i="2"/>
  <c r="BB40" i="2"/>
  <c r="BA40" i="2"/>
  <c r="BB39" i="2"/>
  <c r="BA39" i="2"/>
  <c r="BB38" i="2"/>
  <c r="BA38" i="2"/>
  <c r="BB37" i="2"/>
  <c r="BA37" i="2"/>
  <c r="BB36" i="2"/>
  <c r="BA36" i="2"/>
  <c r="BB35" i="2"/>
  <c r="BA35" i="2"/>
  <c r="BB34" i="2"/>
  <c r="BA34" i="2"/>
  <c r="BB33" i="2"/>
  <c r="BA33" i="2"/>
  <c r="BB32" i="2"/>
  <c r="BA32" i="2"/>
  <c r="BB31" i="2"/>
  <c r="BA31" i="2"/>
  <c r="BB30" i="2"/>
  <c r="BA30" i="2"/>
  <c r="BB29" i="2"/>
  <c r="BA29" i="2"/>
  <c r="BB28" i="2"/>
  <c r="BA28" i="2"/>
  <c r="BB27" i="2"/>
  <c r="BA27" i="2"/>
  <c r="BB26" i="2"/>
  <c r="BA26" i="2"/>
  <c r="BB25" i="2"/>
  <c r="BA25" i="2"/>
  <c r="BB24" i="2"/>
  <c r="BA24" i="2"/>
  <c r="BB23" i="2"/>
  <c r="BA23" i="2"/>
  <c r="BB22" i="2"/>
  <c r="BA22" i="2"/>
  <c r="BB21" i="2"/>
  <c r="BA21" i="2"/>
  <c r="BB20" i="2"/>
  <c r="BA20" i="2"/>
  <c r="BB19" i="2"/>
  <c r="BA19" i="2"/>
  <c r="BB18" i="2"/>
  <c r="BA18" i="2"/>
  <c r="BB17" i="2"/>
  <c r="BA17" i="2"/>
  <c r="BB16" i="2"/>
  <c r="BA16" i="2"/>
  <c r="BB15" i="2"/>
  <c r="BA15" i="2"/>
  <c r="BB14" i="2"/>
  <c r="BA14" i="2"/>
  <c r="BB13" i="2"/>
  <c r="BA13" i="2"/>
  <c r="BB12" i="2"/>
  <c r="BA12" i="2"/>
  <c r="BB11" i="2"/>
  <c r="BA11" i="2"/>
  <c r="BB10" i="2"/>
  <c r="BA10" i="2"/>
  <c r="BB9" i="2"/>
  <c r="BA9" i="2"/>
  <c r="BB8" i="2"/>
  <c r="BA8" i="2"/>
  <c r="BB7" i="2"/>
  <c r="BA7" i="2"/>
  <c r="BB6" i="2"/>
  <c r="BA6" i="2"/>
  <c r="BB5" i="2"/>
  <c r="BA5" i="2"/>
  <c r="BB64" i="2" l="1"/>
  <c r="BB72" i="2"/>
  <c r="BB80" i="2"/>
  <c r="BB88" i="2"/>
  <c r="BB92" i="2"/>
  <c r="BB100" i="2"/>
  <c r="BB108" i="2"/>
  <c r="BA59" i="2"/>
  <c r="BA63" i="2"/>
  <c r="BA67" i="2"/>
  <c r="BA71" i="2"/>
  <c r="BA75" i="2"/>
  <c r="BA79" i="2"/>
  <c r="BA83" i="2"/>
  <c r="BA87" i="2"/>
  <c r="BA91" i="2"/>
  <c r="BA95" i="2"/>
  <c r="BA99" i="2"/>
  <c r="BA103" i="2"/>
  <c r="BA107" i="2"/>
  <c r="BA111" i="2"/>
  <c r="BB60" i="2"/>
  <c r="BB68" i="2"/>
  <c r="BB76" i="2"/>
  <c r="BB84" i="2"/>
  <c r="BB96" i="2"/>
  <c r="BB104" i="2"/>
  <c r="AG111" i="2" l="1"/>
  <c r="AF111" i="2"/>
  <c r="AE111" i="2"/>
  <c r="AD111" i="2"/>
  <c r="AC111" i="2"/>
  <c r="AB111" i="2"/>
  <c r="AA111" i="2"/>
  <c r="Z111" i="2"/>
  <c r="Y111" i="2"/>
  <c r="X111" i="2"/>
  <c r="W111" i="2"/>
  <c r="V111" i="2"/>
  <c r="U111" i="2"/>
  <c r="T111" i="2"/>
  <c r="AG110" i="2"/>
  <c r="AF110" i="2"/>
  <c r="AE110" i="2"/>
  <c r="AD110" i="2"/>
  <c r="AC110" i="2"/>
  <c r="AB110" i="2"/>
  <c r="AA110" i="2"/>
  <c r="Z110" i="2"/>
  <c r="Y110" i="2"/>
  <c r="X110" i="2"/>
  <c r="W110" i="2"/>
  <c r="V110" i="2"/>
  <c r="U110" i="2"/>
  <c r="T110" i="2"/>
  <c r="AG109" i="2"/>
  <c r="AF109" i="2"/>
  <c r="AE109" i="2"/>
  <c r="AD109" i="2"/>
  <c r="AC109" i="2"/>
  <c r="AB109" i="2"/>
  <c r="AA109" i="2"/>
  <c r="Z109" i="2"/>
  <c r="Y109" i="2"/>
  <c r="X109" i="2"/>
  <c r="W109" i="2"/>
  <c r="V109" i="2"/>
  <c r="U109" i="2"/>
  <c r="T109" i="2"/>
  <c r="AG108" i="2"/>
  <c r="AF108" i="2"/>
  <c r="AE108" i="2"/>
  <c r="AD108" i="2"/>
  <c r="AC108" i="2"/>
  <c r="AB108" i="2"/>
  <c r="AA108" i="2"/>
  <c r="Z108" i="2"/>
  <c r="Y108" i="2"/>
  <c r="X108" i="2"/>
  <c r="W108" i="2"/>
  <c r="V108" i="2"/>
  <c r="U108" i="2"/>
  <c r="T108" i="2"/>
  <c r="AG107" i="2"/>
  <c r="AF107" i="2"/>
  <c r="AE107" i="2"/>
  <c r="AD107" i="2"/>
  <c r="AC107" i="2"/>
  <c r="AB107" i="2"/>
  <c r="AA107" i="2"/>
  <c r="Z107" i="2"/>
  <c r="Y107" i="2"/>
  <c r="X107" i="2"/>
  <c r="W107" i="2"/>
  <c r="V107" i="2"/>
  <c r="U107" i="2"/>
  <c r="T107" i="2"/>
  <c r="AG106" i="2"/>
  <c r="AF106" i="2"/>
  <c r="AE106" i="2"/>
  <c r="AD106" i="2"/>
  <c r="AC106" i="2"/>
  <c r="AB106" i="2"/>
  <c r="AA106" i="2"/>
  <c r="Z106" i="2"/>
  <c r="Y106" i="2"/>
  <c r="X106" i="2"/>
  <c r="W106" i="2"/>
  <c r="V106" i="2"/>
  <c r="U106" i="2"/>
  <c r="T106" i="2"/>
  <c r="AG105" i="2"/>
  <c r="AF105" i="2"/>
  <c r="AE105" i="2"/>
  <c r="AD105" i="2"/>
  <c r="AC105" i="2"/>
  <c r="AB105" i="2"/>
  <c r="AA105" i="2"/>
  <c r="Z105" i="2"/>
  <c r="Y105" i="2"/>
  <c r="X105" i="2"/>
  <c r="W105" i="2"/>
  <c r="V105" i="2"/>
  <c r="U105" i="2"/>
  <c r="T105" i="2"/>
  <c r="AG104" i="2"/>
  <c r="AF104" i="2"/>
  <c r="AE104" i="2"/>
  <c r="AD104" i="2"/>
  <c r="AC104" i="2"/>
  <c r="AB104" i="2"/>
  <c r="AA104" i="2"/>
  <c r="Z104" i="2"/>
  <c r="Y104" i="2"/>
  <c r="X104" i="2"/>
  <c r="W104" i="2"/>
  <c r="V104" i="2"/>
  <c r="U104" i="2"/>
  <c r="T104" i="2"/>
  <c r="AG103" i="2"/>
  <c r="AF103" i="2"/>
  <c r="AE103" i="2"/>
  <c r="AD103" i="2"/>
  <c r="AC103" i="2"/>
  <c r="AB103" i="2"/>
  <c r="AA103" i="2"/>
  <c r="Z103" i="2"/>
  <c r="Y103" i="2"/>
  <c r="X103" i="2"/>
  <c r="W103" i="2"/>
  <c r="V103" i="2"/>
  <c r="U103" i="2"/>
  <c r="T103" i="2"/>
  <c r="AG102" i="2"/>
  <c r="AF102" i="2"/>
  <c r="AE102" i="2"/>
  <c r="AD102" i="2"/>
  <c r="AC102" i="2"/>
  <c r="AB102" i="2"/>
  <c r="AA102" i="2"/>
  <c r="Z102" i="2"/>
  <c r="Y102" i="2"/>
  <c r="X102" i="2"/>
  <c r="W102" i="2"/>
  <c r="V102" i="2"/>
  <c r="U102" i="2"/>
  <c r="T102" i="2"/>
  <c r="AG101" i="2"/>
  <c r="AF101" i="2"/>
  <c r="AE101" i="2"/>
  <c r="AD101" i="2"/>
  <c r="AC101" i="2"/>
  <c r="AB101" i="2"/>
  <c r="AA101" i="2"/>
  <c r="Z101" i="2"/>
  <c r="Y101" i="2"/>
  <c r="X101" i="2"/>
  <c r="W101" i="2"/>
  <c r="V101" i="2"/>
  <c r="U101" i="2"/>
  <c r="T101" i="2"/>
  <c r="AG100" i="2"/>
  <c r="AF100" i="2"/>
  <c r="AE100" i="2"/>
  <c r="AD100" i="2"/>
  <c r="AC100" i="2"/>
  <c r="AB100" i="2"/>
  <c r="AA100" i="2"/>
  <c r="Z100" i="2"/>
  <c r="Y100" i="2"/>
  <c r="X100" i="2"/>
  <c r="W100" i="2"/>
  <c r="V100" i="2"/>
  <c r="U100" i="2"/>
  <c r="T100" i="2"/>
  <c r="AG99" i="2"/>
  <c r="AF99" i="2"/>
  <c r="AE99" i="2"/>
  <c r="AD99" i="2"/>
  <c r="AC99" i="2"/>
  <c r="AB99" i="2"/>
  <c r="AA99" i="2"/>
  <c r="Z99" i="2"/>
  <c r="Y99" i="2"/>
  <c r="X99" i="2"/>
  <c r="W99" i="2"/>
  <c r="V99" i="2"/>
  <c r="U99" i="2"/>
  <c r="T99" i="2"/>
  <c r="AG98" i="2"/>
  <c r="AF98" i="2"/>
  <c r="AE98" i="2"/>
  <c r="AD98" i="2"/>
  <c r="AC98" i="2"/>
  <c r="AB98" i="2"/>
  <c r="AA98" i="2"/>
  <c r="Z98" i="2"/>
  <c r="Y98" i="2"/>
  <c r="X98" i="2"/>
  <c r="W98" i="2"/>
  <c r="V98" i="2"/>
  <c r="U98" i="2"/>
  <c r="T98" i="2"/>
  <c r="AG97" i="2"/>
  <c r="AF97" i="2"/>
  <c r="AE97" i="2"/>
  <c r="AD97" i="2"/>
  <c r="AC97" i="2"/>
  <c r="AB97" i="2"/>
  <c r="AA97" i="2"/>
  <c r="Z97" i="2"/>
  <c r="Y97" i="2"/>
  <c r="X97" i="2"/>
  <c r="W97" i="2"/>
  <c r="V97" i="2"/>
  <c r="U97" i="2"/>
  <c r="T97" i="2"/>
  <c r="AG96" i="2"/>
  <c r="AF96" i="2"/>
  <c r="AE96" i="2"/>
  <c r="AD96" i="2"/>
  <c r="AC96" i="2"/>
  <c r="AB96" i="2"/>
  <c r="AA96" i="2"/>
  <c r="Z96" i="2"/>
  <c r="Y96" i="2"/>
  <c r="X96" i="2"/>
  <c r="W96" i="2"/>
  <c r="V96" i="2"/>
  <c r="U96" i="2"/>
  <c r="T96" i="2"/>
  <c r="AG95" i="2"/>
  <c r="AF95" i="2"/>
  <c r="AE95" i="2"/>
  <c r="AD95" i="2"/>
  <c r="AC95" i="2"/>
  <c r="AB95" i="2"/>
  <c r="AA95" i="2"/>
  <c r="Z95" i="2"/>
  <c r="Y95" i="2"/>
  <c r="X95" i="2"/>
  <c r="W95" i="2"/>
  <c r="V95" i="2"/>
  <c r="U95" i="2"/>
  <c r="T95" i="2"/>
  <c r="AG94" i="2"/>
  <c r="AF94" i="2"/>
  <c r="AE94" i="2"/>
  <c r="AD94" i="2"/>
  <c r="AC94" i="2"/>
  <c r="AB94" i="2"/>
  <c r="AA94" i="2"/>
  <c r="Z94" i="2"/>
  <c r="Y94" i="2"/>
  <c r="X94" i="2"/>
  <c r="W94" i="2"/>
  <c r="V94" i="2"/>
  <c r="U94" i="2"/>
  <c r="T94" i="2"/>
  <c r="AG93" i="2"/>
  <c r="AF93" i="2"/>
  <c r="AE93" i="2"/>
  <c r="AD93" i="2"/>
  <c r="AC93" i="2"/>
  <c r="AB93" i="2"/>
  <c r="AA93" i="2"/>
  <c r="Z93" i="2"/>
  <c r="Y93" i="2"/>
  <c r="X93" i="2"/>
  <c r="W93" i="2"/>
  <c r="V93" i="2"/>
  <c r="U93" i="2"/>
  <c r="T93" i="2"/>
  <c r="AG92" i="2"/>
  <c r="AF92" i="2"/>
  <c r="AE92" i="2"/>
  <c r="AD92" i="2"/>
  <c r="AC92" i="2"/>
  <c r="AB92" i="2"/>
  <c r="AA92" i="2"/>
  <c r="Z92" i="2"/>
  <c r="Y92" i="2"/>
  <c r="X92" i="2"/>
  <c r="W92" i="2"/>
  <c r="V92" i="2"/>
  <c r="U92" i="2"/>
  <c r="T92" i="2"/>
  <c r="AG91" i="2"/>
  <c r="AF91" i="2"/>
  <c r="AE91" i="2"/>
  <c r="AD91" i="2"/>
  <c r="AC91" i="2"/>
  <c r="AB91" i="2"/>
  <c r="AA91" i="2"/>
  <c r="Z91" i="2"/>
  <c r="Y91" i="2"/>
  <c r="X91" i="2"/>
  <c r="W91" i="2"/>
  <c r="V91" i="2"/>
  <c r="U91" i="2"/>
  <c r="T91" i="2"/>
  <c r="AG90" i="2"/>
  <c r="AF90" i="2"/>
  <c r="AE90" i="2"/>
  <c r="AD90" i="2"/>
  <c r="AC90" i="2"/>
  <c r="AB90" i="2"/>
  <c r="AA90" i="2"/>
  <c r="Z90" i="2"/>
  <c r="Y90" i="2"/>
  <c r="X90" i="2"/>
  <c r="W90" i="2"/>
  <c r="V90" i="2"/>
  <c r="U90" i="2"/>
  <c r="T90" i="2"/>
  <c r="AG89" i="2"/>
  <c r="AF89" i="2"/>
  <c r="AE89" i="2"/>
  <c r="AD89" i="2"/>
  <c r="AC89" i="2"/>
  <c r="AB89" i="2"/>
  <c r="AA89" i="2"/>
  <c r="Z89" i="2"/>
  <c r="Y89" i="2"/>
  <c r="X89" i="2"/>
  <c r="W89" i="2"/>
  <c r="V89" i="2"/>
  <c r="U89" i="2"/>
  <c r="T89" i="2"/>
  <c r="AG88" i="2"/>
  <c r="AF88" i="2"/>
  <c r="AE88" i="2"/>
  <c r="AD88" i="2"/>
  <c r="AC88" i="2"/>
  <c r="AB88" i="2"/>
  <c r="AA88" i="2"/>
  <c r="Z88" i="2"/>
  <c r="Y88" i="2"/>
  <c r="X88" i="2"/>
  <c r="W88" i="2"/>
  <c r="V88" i="2"/>
  <c r="U88" i="2"/>
  <c r="T88" i="2"/>
  <c r="AG87" i="2"/>
  <c r="AF87" i="2"/>
  <c r="AE87" i="2"/>
  <c r="AD87" i="2"/>
  <c r="AC87" i="2"/>
  <c r="AB87" i="2"/>
  <c r="AA87" i="2"/>
  <c r="Z87" i="2"/>
  <c r="Y87" i="2"/>
  <c r="X87" i="2"/>
  <c r="W87" i="2"/>
  <c r="V87" i="2"/>
  <c r="U87" i="2"/>
  <c r="T87" i="2"/>
  <c r="AG86" i="2"/>
  <c r="AF86" i="2"/>
  <c r="AE86" i="2"/>
  <c r="AD86" i="2"/>
  <c r="AC86" i="2"/>
  <c r="AB86" i="2"/>
  <c r="AA86" i="2"/>
  <c r="Z86" i="2"/>
  <c r="Y86" i="2"/>
  <c r="X86" i="2"/>
  <c r="W86" i="2"/>
  <c r="V86" i="2"/>
  <c r="U86" i="2"/>
  <c r="T86" i="2"/>
  <c r="AG85" i="2"/>
  <c r="AF85" i="2"/>
  <c r="AE85" i="2"/>
  <c r="AD85" i="2"/>
  <c r="AC85" i="2"/>
  <c r="AB85" i="2"/>
  <c r="AA85" i="2"/>
  <c r="Z85" i="2"/>
  <c r="Y85" i="2"/>
  <c r="X85" i="2"/>
  <c r="W85" i="2"/>
  <c r="V85" i="2"/>
  <c r="U85" i="2"/>
  <c r="T85" i="2"/>
  <c r="AG84" i="2"/>
  <c r="AF84" i="2"/>
  <c r="AE84" i="2"/>
  <c r="AD84" i="2"/>
  <c r="AC84" i="2"/>
  <c r="AB84" i="2"/>
  <c r="AA84" i="2"/>
  <c r="Z84" i="2"/>
  <c r="Y84" i="2"/>
  <c r="X84" i="2"/>
  <c r="W84" i="2"/>
  <c r="V84" i="2"/>
  <c r="U84" i="2"/>
  <c r="T84" i="2"/>
  <c r="AG83" i="2"/>
  <c r="AF83" i="2"/>
  <c r="AE83" i="2"/>
  <c r="AD83" i="2"/>
  <c r="AC83" i="2"/>
  <c r="AB83" i="2"/>
  <c r="AA83" i="2"/>
  <c r="Z83" i="2"/>
  <c r="Y83" i="2"/>
  <c r="X83" i="2"/>
  <c r="W83" i="2"/>
  <c r="V83" i="2"/>
  <c r="U83" i="2"/>
  <c r="T83" i="2"/>
  <c r="AG82" i="2"/>
  <c r="AF82" i="2"/>
  <c r="AE82" i="2"/>
  <c r="AD82" i="2"/>
  <c r="AC82" i="2"/>
  <c r="AB82" i="2"/>
  <c r="AA82" i="2"/>
  <c r="Z82" i="2"/>
  <c r="Y82" i="2"/>
  <c r="X82" i="2"/>
  <c r="W82" i="2"/>
  <c r="V82" i="2"/>
  <c r="U82" i="2"/>
  <c r="T82" i="2"/>
  <c r="AG81" i="2"/>
  <c r="AF81" i="2"/>
  <c r="AE81" i="2"/>
  <c r="AD81" i="2"/>
  <c r="AC81" i="2"/>
  <c r="AB81" i="2"/>
  <c r="AA81" i="2"/>
  <c r="Z81" i="2"/>
  <c r="Y81" i="2"/>
  <c r="X81" i="2"/>
  <c r="W81" i="2"/>
  <c r="V81" i="2"/>
  <c r="U81" i="2"/>
  <c r="T81" i="2"/>
  <c r="AG80" i="2"/>
  <c r="AF80" i="2"/>
  <c r="AE80" i="2"/>
  <c r="AD80" i="2"/>
  <c r="AC80" i="2"/>
  <c r="AB80" i="2"/>
  <c r="AA80" i="2"/>
  <c r="Z80" i="2"/>
  <c r="Y80" i="2"/>
  <c r="X80" i="2"/>
  <c r="W80" i="2"/>
  <c r="V80" i="2"/>
  <c r="U80" i="2"/>
  <c r="T80" i="2"/>
  <c r="AG79" i="2"/>
  <c r="AF79" i="2"/>
  <c r="AE79" i="2"/>
  <c r="AD79" i="2"/>
  <c r="AC79" i="2"/>
  <c r="AB79" i="2"/>
  <c r="AA79" i="2"/>
  <c r="Z79" i="2"/>
  <c r="Y79" i="2"/>
  <c r="X79" i="2"/>
  <c r="W79" i="2"/>
  <c r="V79" i="2"/>
  <c r="U79" i="2"/>
  <c r="T79" i="2"/>
  <c r="AI79" i="2" s="1"/>
  <c r="AG78" i="2"/>
  <c r="AF78" i="2"/>
  <c r="AE78" i="2"/>
  <c r="AD78" i="2"/>
  <c r="AC78" i="2"/>
  <c r="AB78" i="2"/>
  <c r="AA78" i="2"/>
  <c r="Z78" i="2"/>
  <c r="Y78" i="2"/>
  <c r="X78" i="2"/>
  <c r="W78" i="2"/>
  <c r="V78" i="2"/>
  <c r="AH78" i="2" s="1"/>
  <c r="U78" i="2"/>
  <c r="T78" i="2"/>
  <c r="AG77" i="2"/>
  <c r="AF77" i="2"/>
  <c r="AE77" i="2"/>
  <c r="AD77" i="2"/>
  <c r="AC77" i="2"/>
  <c r="AB77" i="2"/>
  <c r="AA77" i="2"/>
  <c r="Z77" i="2"/>
  <c r="Y77" i="2"/>
  <c r="X77" i="2"/>
  <c r="W77" i="2"/>
  <c r="V77" i="2"/>
  <c r="U77" i="2"/>
  <c r="AH77" i="2" s="1"/>
  <c r="T77" i="2"/>
  <c r="AG76" i="2"/>
  <c r="AF76" i="2"/>
  <c r="AE76" i="2"/>
  <c r="AD76" i="2"/>
  <c r="AC76" i="2"/>
  <c r="AB76" i="2"/>
  <c r="AA76" i="2"/>
  <c r="Z76" i="2"/>
  <c r="Y76" i="2"/>
  <c r="X76" i="2"/>
  <c r="W76" i="2"/>
  <c r="V76" i="2"/>
  <c r="U76" i="2"/>
  <c r="T76" i="2"/>
  <c r="AI76" i="2" s="1"/>
  <c r="AG75" i="2"/>
  <c r="AF75" i="2"/>
  <c r="AE75" i="2"/>
  <c r="AD75" i="2"/>
  <c r="AC75" i="2"/>
  <c r="AB75" i="2"/>
  <c r="AA75" i="2"/>
  <c r="Z75" i="2"/>
  <c r="Y75" i="2"/>
  <c r="X75" i="2"/>
  <c r="W75" i="2"/>
  <c r="V75" i="2"/>
  <c r="U75" i="2"/>
  <c r="T75" i="2"/>
  <c r="AI75" i="2" s="1"/>
  <c r="AG74" i="2"/>
  <c r="AF74" i="2"/>
  <c r="AE74" i="2"/>
  <c r="AD74" i="2"/>
  <c r="AC74" i="2"/>
  <c r="AB74" i="2"/>
  <c r="AA74" i="2"/>
  <c r="Z74" i="2"/>
  <c r="Y74" i="2"/>
  <c r="X74" i="2"/>
  <c r="W74" i="2"/>
  <c r="V74" i="2"/>
  <c r="AH74" i="2" s="1"/>
  <c r="U74" i="2"/>
  <c r="T74" i="2"/>
  <c r="AG73" i="2"/>
  <c r="AF73" i="2"/>
  <c r="AE73" i="2"/>
  <c r="AD73" i="2"/>
  <c r="AC73" i="2"/>
  <c r="AB73" i="2"/>
  <c r="AA73" i="2"/>
  <c r="Z73" i="2"/>
  <c r="Y73" i="2"/>
  <c r="X73" i="2"/>
  <c r="W73" i="2"/>
  <c r="V73" i="2"/>
  <c r="U73" i="2"/>
  <c r="AH73" i="2" s="1"/>
  <c r="T73" i="2"/>
  <c r="AG72" i="2"/>
  <c r="AF72" i="2"/>
  <c r="AE72" i="2"/>
  <c r="AD72" i="2"/>
  <c r="AC72" i="2"/>
  <c r="AB72" i="2"/>
  <c r="AA72" i="2"/>
  <c r="Z72" i="2"/>
  <c r="Y72" i="2"/>
  <c r="X72" i="2"/>
  <c r="W72" i="2"/>
  <c r="V72" i="2"/>
  <c r="U72" i="2"/>
  <c r="T72" i="2"/>
  <c r="AI72" i="2" s="1"/>
  <c r="AG71" i="2"/>
  <c r="AF71" i="2"/>
  <c r="AE71" i="2"/>
  <c r="AD71" i="2"/>
  <c r="AC71" i="2"/>
  <c r="AB71" i="2"/>
  <c r="AA71" i="2"/>
  <c r="Z71" i="2"/>
  <c r="Y71" i="2"/>
  <c r="X71" i="2"/>
  <c r="W71" i="2"/>
  <c r="V71" i="2"/>
  <c r="U71" i="2"/>
  <c r="T71" i="2"/>
  <c r="AI71" i="2" s="1"/>
  <c r="AG70" i="2"/>
  <c r="AF70" i="2"/>
  <c r="AE70" i="2"/>
  <c r="AD70" i="2"/>
  <c r="AC70" i="2"/>
  <c r="AB70" i="2"/>
  <c r="AA70" i="2"/>
  <c r="Z70" i="2"/>
  <c r="Y70" i="2"/>
  <c r="X70" i="2"/>
  <c r="W70" i="2"/>
  <c r="V70" i="2"/>
  <c r="AH70" i="2" s="1"/>
  <c r="U70" i="2"/>
  <c r="T70" i="2"/>
  <c r="AG69" i="2"/>
  <c r="AF69" i="2"/>
  <c r="AE69" i="2"/>
  <c r="AD69" i="2"/>
  <c r="AC69" i="2"/>
  <c r="AB69" i="2"/>
  <c r="AA69" i="2"/>
  <c r="Z69" i="2"/>
  <c r="Y69" i="2"/>
  <c r="X69" i="2"/>
  <c r="W69" i="2"/>
  <c r="V69" i="2"/>
  <c r="U69" i="2"/>
  <c r="AH69" i="2" s="1"/>
  <c r="T69" i="2"/>
  <c r="AG68" i="2"/>
  <c r="AF68" i="2"/>
  <c r="AE68" i="2"/>
  <c r="AD68" i="2"/>
  <c r="AC68" i="2"/>
  <c r="AB68" i="2"/>
  <c r="AA68" i="2"/>
  <c r="Z68" i="2"/>
  <c r="Y68" i="2"/>
  <c r="X68" i="2"/>
  <c r="W68" i="2"/>
  <c r="V68" i="2"/>
  <c r="U68" i="2"/>
  <c r="T68" i="2"/>
  <c r="AI68" i="2" s="1"/>
  <c r="AG67" i="2"/>
  <c r="AF67" i="2"/>
  <c r="AE67" i="2"/>
  <c r="AD67" i="2"/>
  <c r="AC67" i="2"/>
  <c r="AB67" i="2"/>
  <c r="AA67" i="2"/>
  <c r="Z67" i="2"/>
  <c r="Y67" i="2"/>
  <c r="X67" i="2"/>
  <c r="W67" i="2"/>
  <c r="V67" i="2"/>
  <c r="U67" i="2"/>
  <c r="T67" i="2"/>
  <c r="AI67" i="2" s="1"/>
  <c r="AG66" i="2"/>
  <c r="AF66" i="2"/>
  <c r="AE66" i="2"/>
  <c r="AD66" i="2"/>
  <c r="AC66" i="2"/>
  <c r="AB66" i="2"/>
  <c r="AA66" i="2"/>
  <c r="Z66" i="2"/>
  <c r="Y66" i="2"/>
  <c r="X66" i="2"/>
  <c r="W66" i="2"/>
  <c r="V66" i="2"/>
  <c r="AH66" i="2" s="1"/>
  <c r="U66" i="2"/>
  <c r="T66" i="2"/>
  <c r="AG65" i="2"/>
  <c r="AF65" i="2"/>
  <c r="AE65" i="2"/>
  <c r="AD65" i="2"/>
  <c r="AC65" i="2"/>
  <c r="AB65" i="2"/>
  <c r="AA65" i="2"/>
  <c r="Z65" i="2"/>
  <c r="Y65" i="2"/>
  <c r="X65" i="2"/>
  <c r="W65" i="2"/>
  <c r="V65" i="2"/>
  <c r="U65" i="2"/>
  <c r="AH65" i="2" s="1"/>
  <c r="T65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AI64" i="2" s="1"/>
  <c r="AG63" i="2"/>
  <c r="AF63" i="2"/>
  <c r="AE63" i="2"/>
  <c r="AD63" i="2"/>
  <c r="AC63" i="2"/>
  <c r="AB63" i="2"/>
  <c r="AA63" i="2"/>
  <c r="Z63" i="2"/>
  <c r="Y63" i="2"/>
  <c r="X63" i="2"/>
  <c r="W63" i="2"/>
  <c r="V63" i="2"/>
  <c r="U63" i="2"/>
  <c r="T63" i="2"/>
  <c r="AI63" i="2" s="1"/>
  <c r="AG62" i="2"/>
  <c r="AF62" i="2"/>
  <c r="AE62" i="2"/>
  <c r="AD62" i="2"/>
  <c r="AC62" i="2"/>
  <c r="AB62" i="2"/>
  <c r="AA62" i="2"/>
  <c r="Z62" i="2"/>
  <c r="Y62" i="2"/>
  <c r="X62" i="2"/>
  <c r="W62" i="2"/>
  <c r="V62" i="2"/>
  <c r="AH62" i="2" s="1"/>
  <c r="U62" i="2"/>
  <c r="T62" i="2"/>
  <c r="AG61" i="2"/>
  <c r="AF61" i="2"/>
  <c r="AE61" i="2"/>
  <c r="AD61" i="2"/>
  <c r="AC61" i="2"/>
  <c r="AB61" i="2"/>
  <c r="AA61" i="2"/>
  <c r="Z61" i="2"/>
  <c r="Y61" i="2"/>
  <c r="X61" i="2"/>
  <c r="W61" i="2"/>
  <c r="V61" i="2"/>
  <c r="U61" i="2"/>
  <c r="AH61" i="2" s="1"/>
  <c r="T61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AI60" i="2" s="1"/>
  <c r="AG59" i="2"/>
  <c r="AF59" i="2"/>
  <c r="AE59" i="2"/>
  <c r="AD59" i="2"/>
  <c r="AC59" i="2"/>
  <c r="AB59" i="2"/>
  <c r="AA59" i="2"/>
  <c r="Z59" i="2"/>
  <c r="Y59" i="2"/>
  <c r="X59" i="2"/>
  <c r="W59" i="2"/>
  <c r="V59" i="2"/>
  <c r="U59" i="2"/>
  <c r="T59" i="2"/>
  <c r="AI59" i="2" s="1"/>
  <c r="AI57" i="2"/>
  <c r="AH57" i="2"/>
  <c r="AI56" i="2"/>
  <c r="AH56" i="2"/>
  <c r="AI55" i="2"/>
  <c r="AH55" i="2"/>
  <c r="AI54" i="2"/>
  <c r="AH54" i="2"/>
  <c r="AI53" i="2"/>
  <c r="AH53" i="2"/>
  <c r="AI52" i="2"/>
  <c r="AH52" i="2"/>
  <c r="AI51" i="2"/>
  <c r="AH51" i="2"/>
  <c r="AI50" i="2"/>
  <c r="AH50" i="2"/>
  <c r="AI49" i="2"/>
  <c r="AH49" i="2"/>
  <c r="AI48" i="2"/>
  <c r="AH48" i="2"/>
  <c r="AI47" i="2"/>
  <c r="AH47" i="2"/>
  <c r="AI46" i="2"/>
  <c r="AH46" i="2"/>
  <c r="AI45" i="2"/>
  <c r="AH45" i="2"/>
  <c r="AI44" i="2"/>
  <c r="AH44" i="2"/>
  <c r="AI43" i="2"/>
  <c r="AH43" i="2"/>
  <c r="AI42" i="2"/>
  <c r="AH42" i="2"/>
  <c r="AI41" i="2"/>
  <c r="AH41" i="2"/>
  <c r="AI40" i="2"/>
  <c r="AH40" i="2"/>
  <c r="AI39" i="2"/>
  <c r="AH39" i="2"/>
  <c r="AI38" i="2"/>
  <c r="AH38" i="2"/>
  <c r="AI37" i="2"/>
  <c r="AH37" i="2"/>
  <c r="AI36" i="2"/>
  <c r="AH36" i="2"/>
  <c r="AI35" i="2"/>
  <c r="AH35" i="2"/>
  <c r="AI34" i="2"/>
  <c r="AH34" i="2"/>
  <c r="AI33" i="2"/>
  <c r="AH33" i="2"/>
  <c r="AI32" i="2"/>
  <c r="AH32" i="2"/>
  <c r="AI31" i="2"/>
  <c r="AH31" i="2"/>
  <c r="AI30" i="2"/>
  <c r="AH30" i="2"/>
  <c r="AI29" i="2"/>
  <c r="AH29" i="2"/>
  <c r="AI28" i="2"/>
  <c r="AH28" i="2"/>
  <c r="AI27" i="2"/>
  <c r="AH27" i="2"/>
  <c r="AI26" i="2"/>
  <c r="AH26" i="2"/>
  <c r="AI25" i="2"/>
  <c r="AH25" i="2"/>
  <c r="AI24" i="2"/>
  <c r="AH24" i="2"/>
  <c r="AI23" i="2"/>
  <c r="AH23" i="2"/>
  <c r="AI22" i="2"/>
  <c r="AH22" i="2"/>
  <c r="AI21" i="2"/>
  <c r="AH21" i="2"/>
  <c r="AI20" i="2"/>
  <c r="AH20" i="2"/>
  <c r="AI19" i="2"/>
  <c r="AH19" i="2"/>
  <c r="AI18" i="2"/>
  <c r="AH18" i="2"/>
  <c r="AI17" i="2"/>
  <c r="AH17" i="2"/>
  <c r="AI16" i="2"/>
  <c r="AH16" i="2"/>
  <c r="AI15" i="2"/>
  <c r="AH15" i="2"/>
  <c r="AI14" i="2"/>
  <c r="AH14" i="2"/>
  <c r="AI13" i="2"/>
  <c r="AH13" i="2"/>
  <c r="AI12" i="2"/>
  <c r="AH12" i="2"/>
  <c r="AI11" i="2"/>
  <c r="AH11" i="2"/>
  <c r="AI10" i="2"/>
  <c r="AH10" i="2"/>
  <c r="AI9" i="2"/>
  <c r="AH9" i="2"/>
  <c r="AI8" i="2"/>
  <c r="AH8" i="2"/>
  <c r="AI7" i="2"/>
  <c r="AH7" i="2"/>
  <c r="AI6" i="2"/>
  <c r="AH6" i="2"/>
  <c r="AI5" i="2"/>
  <c r="AH5" i="2"/>
  <c r="AI80" i="2" l="1"/>
  <c r="AH80" i="2"/>
  <c r="AI82" i="2"/>
  <c r="AH82" i="2"/>
  <c r="AI84" i="2"/>
  <c r="AH84" i="2"/>
  <c r="AI86" i="2"/>
  <c r="AH86" i="2"/>
  <c r="AI88" i="2"/>
  <c r="AH88" i="2"/>
  <c r="AI90" i="2"/>
  <c r="AH90" i="2"/>
  <c r="AI92" i="2"/>
  <c r="AH92" i="2"/>
  <c r="AI94" i="2"/>
  <c r="AH94" i="2"/>
  <c r="AI96" i="2"/>
  <c r="AH96" i="2"/>
  <c r="AI98" i="2"/>
  <c r="AH98" i="2"/>
  <c r="AI100" i="2"/>
  <c r="AH100" i="2"/>
  <c r="AI102" i="2"/>
  <c r="AH102" i="2"/>
  <c r="AI104" i="2"/>
  <c r="AH104" i="2"/>
  <c r="AI106" i="2"/>
  <c r="AH106" i="2"/>
  <c r="AI108" i="2"/>
  <c r="AH108" i="2"/>
  <c r="AI110" i="2"/>
  <c r="AH110" i="2"/>
  <c r="AH60" i="2"/>
  <c r="AI62" i="2"/>
  <c r="AH64" i="2"/>
  <c r="AI66" i="2"/>
  <c r="AH68" i="2"/>
  <c r="AI70" i="2"/>
  <c r="AH72" i="2"/>
  <c r="AI74" i="2"/>
  <c r="AH76" i="2"/>
  <c r="AI78" i="2"/>
  <c r="AI81" i="2"/>
  <c r="AH81" i="2"/>
  <c r="AI83" i="2"/>
  <c r="AH83" i="2"/>
  <c r="AI85" i="2"/>
  <c r="AH85" i="2"/>
  <c r="AI87" i="2"/>
  <c r="AH87" i="2"/>
  <c r="AI89" i="2"/>
  <c r="AH89" i="2"/>
  <c r="AI91" i="2"/>
  <c r="AH91" i="2"/>
  <c r="AI93" i="2"/>
  <c r="AH93" i="2"/>
  <c r="AI95" i="2"/>
  <c r="AH95" i="2"/>
  <c r="AI97" i="2"/>
  <c r="AH97" i="2"/>
  <c r="AI99" i="2"/>
  <c r="AH99" i="2"/>
  <c r="AI101" i="2"/>
  <c r="AH101" i="2"/>
  <c r="AI103" i="2"/>
  <c r="AH103" i="2"/>
  <c r="AI105" i="2"/>
  <c r="AH105" i="2"/>
  <c r="AI107" i="2"/>
  <c r="AH107" i="2"/>
  <c r="AI109" i="2"/>
  <c r="AH109" i="2"/>
  <c r="AI111" i="2"/>
  <c r="AH111" i="2"/>
  <c r="AH59" i="2"/>
  <c r="AI61" i="2"/>
  <c r="AH63" i="2"/>
  <c r="AI65" i="2"/>
  <c r="AH67" i="2"/>
  <c r="AI69" i="2"/>
  <c r="AH71" i="2"/>
  <c r="AI73" i="2"/>
  <c r="AH75" i="2"/>
  <c r="AI77" i="2"/>
  <c r="AH79" i="2"/>
  <c r="R8" i="1" l="1"/>
  <c r="Q8" i="1"/>
  <c r="P8" i="1"/>
  <c r="O8" i="1"/>
  <c r="N8" i="1"/>
  <c r="W8" i="1"/>
  <c r="V8" i="1"/>
  <c r="U8" i="1"/>
  <c r="T8" i="1"/>
  <c r="S8" i="1"/>
  <c r="M8" i="1"/>
  <c r="L8" i="1"/>
  <c r="K8" i="1"/>
  <c r="J8" i="1"/>
  <c r="I8" i="1"/>
  <c r="H8" i="1"/>
  <c r="G8" i="1"/>
  <c r="F8" i="1"/>
  <c r="E8" i="1"/>
  <c r="D8" i="1"/>
</calcChain>
</file>

<file path=xl/sharedStrings.xml><?xml version="1.0" encoding="utf-8"?>
<sst xmlns="http://schemas.openxmlformats.org/spreadsheetml/2006/main" count="1204" uniqueCount="460">
  <si>
    <t>MACROSCOPIC AREA</t>
    <phoneticPr fontId="0" type="noConversion"/>
  </si>
  <si>
    <t>LENGTH</t>
    <phoneticPr fontId="0" type="noConversion"/>
  </si>
  <si>
    <t>WIDTH</t>
    <phoneticPr fontId="0" type="noConversion"/>
  </si>
  <si>
    <t>AREA</t>
    <phoneticPr fontId="0" type="noConversion"/>
  </si>
  <si>
    <t>Tumorigenecity</t>
  </si>
  <si>
    <t>Untreated</t>
  </si>
  <si>
    <t>Capsaicin</t>
  </si>
  <si>
    <t>H . Pylori</t>
  </si>
  <si>
    <r>
      <t>Capsaicin+</t>
    </r>
    <r>
      <rPr>
        <i/>
        <sz val="11"/>
        <color theme="1"/>
        <rFont val="Calibri"/>
        <family val="2"/>
        <scheme val="minor"/>
      </rPr>
      <t>H. pylori</t>
    </r>
  </si>
  <si>
    <t>CAPSAICIN</t>
  </si>
  <si>
    <t>Date</t>
    <phoneticPr fontId="0" type="noConversion"/>
  </si>
  <si>
    <t>1A</t>
    <phoneticPr fontId="0" type="noConversion"/>
  </si>
  <si>
    <t>1B</t>
    <phoneticPr fontId="0" type="noConversion"/>
  </si>
  <si>
    <t>1C</t>
    <phoneticPr fontId="0" type="noConversion"/>
  </si>
  <si>
    <t>1D</t>
    <phoneticPr fontId="0" type="noConversion"/>
  </si>
  <si>
    <t>1E</t>
    <phoneticPr fontId="0" type="noConversion"/>
  </si>
  <si>
    <t>2A</t>
    <phoneticPr fontId="0" type="noConversion"/>
  </si>
  <si>
    <t>2C</t>
    <phoneticPr fontId="0" type="noConversion"/>
  </si>
  <si>
    <t>2E</t>
    <phoneticPr fontId="0" type="noConversion"/>
  </si>
  <si>
    <t>3A</t>
    <phoneticPr fontId="0" type="noConversion"/>
  </si>
  <si>
    <t>3B</t>
    <phoneticPr fontId="0" type="noConversion"/>
  </si>
  <si>
    <t>3C</t>
    <phoneticPr fontId="0" type="noConversion"/>
  </si>
  <si>
    <t>mean</t>
    <phoneticPr fontId="0" type="noConversion"/>
  </si>
  <si>
    <t>sd</t>
    <phoneticPr fontId="0" type="noConversion"/>
  </si>
  <si>
    <t>MEAN</t>
    <phoneticPr fontId="0" type="noConversion"/>
  </si>
  <si>
    <t>SD</t>
    <phoneticPr fontId="0" type="noConversion"/>
  </si>
  <si>
    <t>Date</t>
  </si>
  <si>
    <t>1A</t>
  </si>
  <si>
    <t>1B</t>
  </si>
  <si>
    <t>1C</t>
  </si>
  <si>
    <t>1D</t>
  </si>
  <si>
    <t>1E</t>
  </si>
  <si>
    <t>2A</t>
  </si>
  <si>
    <t>2B</t>
  </si>
  <si>
    <t>2C</t>
  </si>
  <si>
    <t>2D</t>
  </si>
  <si>
    <t>2E</t>
  </si>
  <si>
    <t>3A</t>
  </si>
  <si>
    <t>3B</t>
  </si>
  <si>
    <t>3C</t>
  </si>
  <si>
    <t>3D</t>
  </si>
  <si>
    <t>3E</t>
  </si>
  <si>
    <t>mean</t>
  </si>
  <si>
    <t>sd</t>
  </si>
  <si>
    <t>MEAN</t>
  </si>
  <si>
    <t>SD</t>
  </si>
  <si>
    <t>2A</t>
    <phoneticPr fontId="0" type="noConversion"/>
  </si>
  <si>
    <t>2B</t>
    <phoneticPr fontId="0" type="noConversion"/>
  </si>
  <si>
    <t>2D</t>
    <phoneticPr fontId="0" type="noConversion"/>
  </si>
  <si>
    <t>3D</t>
    <phoneticPr fontId="0" type="noConversion"/>
  </si>
  <si>
    <t>3E</t>
    <phoneticPr fontId="0" type="noConversion"/>
  </si>
  <si>
    <t>SD</t>
    <phoneticPr fontId="0" type="noConversion"/>
  </si>
  <si>
    <t>Capsaicin+HP</t>
  </si>
  <si>
    <t>1C</t>
    <phoneticPr fontId="0" type="noConversion"/>
  </si>
  <si>
    <t>2C</t>
    <phoneticPr fontId="0" type="noConversion"/>
  </si>
  <si>
    <t>3C</t>
    <phoneticPr fontId="0" type="noConversion"/>
  </si>
  <si>
    <t>3D</t>
    <phoneticPr fontId="0" type="noConversion"/>
  </si>
  <si>
    <t>H. pylori</t>
  </si>
  <si>
    <t>1D</t>
    <phoneticPr fontId="0" type="noConversion"/>
  </si>
  <si>
    <t>2B</t>
    <phoneticPr fontId="0" type="noConversion"/>
  </si>
  <si>
    <t>MEAN</t>
    <phoneticPr fontId="0" type="noConversion"/>
  </si>
  <si>
    <t>Epithelial defects</t>
  </si>
  <si>
    <t>capsaicin</t>
  </si>
  <si>
    <t>HP</t>
    <phoneticPr fontId="2" type="noConversion"/>
  </si>
  <si>
    <t>capsaicin+HP cancer</t>
  </si>
  <si>
    <t>Inflammatory cells</t>
    <phoneticPr fontId="2" type="noConversion"/>
  </si>
  <si>
    <t>Glandular zone</t>
    <phoneticPr fontId="2" type="noConversion"/>
  </si>
  <si>
    <t>Atrophy</t>
    <phoneticPr fontId="2" type="noConversion"/>
  </si>
  <si>
    <t>HE analysis</t>
  </si>
  <si>
    <t>body weight</t>
  </si>
  <si>
    <t xml:space="preserve">mice tumor </t>
  </si>
  <si>
    <t>LPO</t>
  </si>
  <si>
    <r>
      <t>LPO (</t>
    </r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Calibri"/>
        <family val="2"/>
        <scheme val="minor"/>
      </rPr>
      <t>mol/L)=Measured OD-blank OD/Standard OD-blank OD * Standard sample concentration (10</t>
    </r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Calibri"/>
        <family val="2"/>
        <scheme val="minor"/>
      </rPr>
      <t>mol/L)</t>
    </r>
  </si>
  <si>
    <t>Plate 1: Plate 1 - Wavelength: 586 nm</t>
    <phoneticPr fontId="2" type="noConversion"/>
  </si>
  <si>
    <t>Samples</t>
  </si>
  <si>
    <t>OD</t>
  </si>
  <si>
    <t>Blank</t>
  </si>
  <si>
    <t>Standard</t>
  </si>
  <si>
    <t>OD  (586nm)</t>
  </si>
  <si>
    <t>Groups</t>
  </si>
  <si>
    <t>mice#1</t>
  </si>
  <si>
    <t>mice#2</t>
  </si>
  <si>
    <t>mice#3</t>
  </si>
  <si>
    <t>mice#4</t>
  </si>
  <si>
    <t>mice#5</t>
  </si>
  <si>
    <t>Normal</t>
  </si>
  <si>
    <t>Measured OD-blank OD</t>
  </si>
  <si>
    <t>Standard OD-blank OD</t>
  </si>
  <si>
    <t>Measured OD-blank OD/Standard OD-blank OD</t>
  </si>
  <si>
    <t>Measured OD-blank OD/Standard OD-blank OD * Standard sample concentration (10µmol/L)</t>
  </si>
  <si>
    <t>Average</t>
  </si>
  <si>
    <t>Carbonyl (nmol/mgprot)= (detected OD-control OD/22*machine diameter (cm)*protein con of sample)*125x10^5</t>
  </si>
  <si>
    <t>Carbonyl</t>
  </si>
  <si>
    <t>Photometric1</t>
  </si>
  <si>
    <t>Plate 1: Plate 1 - Wavelength: 370 nm</t>
    <phoneticPr fontId="2" type="noConversion"/>
  </si>
  <si>
    <t>Control</t>
  </si>
  <si>
    <t>Machine diameter (cm)</t>
  </si>
  <si>
    <t>detected OD-control OD</t>
  </si>
  <si>
    <t>protein con of sample (mgprot/L</t>
  </si>
  <si>
    <t>22*machine diameter (cm)*protein con of sample (mg/prot)*1000</t>
  </si>
  <si>
    <t>detected OD-control OD/22*machine diameter (cm)*protein con of sample</t>
  </si>
  <si>
    <t>(detected OD-control OD/22*machine diameter (cm)*protein con of sample)*125x10^5</t>
  </si>
  <si>
    <t>capsaicin+HP</t>
  </si>
  <si>
    <t>Catalase (U/ml) = (Cotrol OD- detected OD)*271*(1/60*vol of sample)*dilution factor)</t>
  </si>
  <si>
    <t>Catalase</t>
  </si>
  <si>
    <t>Plate 1: Plate 1 - Wavelength: 405 nm</t>
  </si>
  <si>
    <t>Sample</t>
  </si>
  <si>
    <t>Cotrol</t>
  </si>
  <si>
    <t>sample volume</t>
  </si>
  <si>
    <t>Dilution factor</t>
  </si>
  <si>
    <t>Cotrol OD- detected OD</t>
  </si>
  <si>
    <t>271*(1/60*vol of sample)*dilution factor</t>
  </si>
  <si>
    <t>average</t>
  </si>
  <si>
    <t>MPO (U/L) =observed OD-Control OD/11.3*sample volume</t>
  </si>
  <si>
    <t>MPO</t>
  </si>
  <si>
    <t>Plate 1: Plate 1 - Wavelength: 460 nm</t>
  </si>
  <si>
    <t>observed OD-Control OD</t>
  </si>
  <si>
    <t>11.3*0.2</t>
  </si>
  <si>
    <t>observed OD-Control OD/11.3*45*Sample Vol</t>
  </si>
  <si>
    <t>MDA(nmol/mgprot)= (observed OD-Control OD/standard Od-Blank OD)*Standard sample conc*dilution factor</t>
  </si>
  <si>
    <t>MDA</t>
  </si>
  <si>
    <t>Plate 1: Plate 1 - Wavelength: 532 nm</t>
  </si>
  <si>
    <t>Standard OD</t>
  </si>
  <si>
    <t>Standard sample conc</t>
  </si>
  <si>
    <t>standard Od-Blank OD</t>
  </si>
  <si>
    <t>observed OD-Control OD/standard Od-Blank OD</t>
  </si>
  <si>
    <t>MDA()= (observed OD-Control OD/standard Od-Blank OD)*Standard sample conc*dilution factor</t>
  </si>
  <si>
    <t>Beads array analysis of cytokine in mouse serum samples</t>
  </si>
  <si>
    <t>IL-23</t>
  </si>
  <si>
    <r>
      <t>IL1</t>
    </r>
    <r>
      <rPr>
        <b/>
        <sz val="11"/>
        <color theme="1"/>
        <rFont val="Calibri"/>
        <family val="2"/>
      </rPr>
      <t>α</t>
    </r>
  </si>
  <si>
    <r>
      <t>IFN</t>
    </r>
    <r>
      <rPr>
        <b/>
        <sz val="11"/>
        <color theme="1"/>
        <rFont val="Calibri"/>
        <family val="2"/>
      </rPr>
      <t>γ</t>
    </r>
  </si>
  <si>
    <r>
      <t>TNF</t>
    </r>
    <r>
      <rPr>
        <b/>
        <sz val="11"/>
        <color theme="1"/>
        <rFont val="Calibri"/>
        <family val="2"/>
      </rPr>
      <t>α</t>
    </r>
  </si>
  <si>
    <t>MCP-1</t>
  </si>
  <si>
    <t>IL22p70</t>
  </si>
  <si>
    <r>
      <t>IL-1</t>
    </r>
    <r>
      <rPr>
        <b/>
        <sz val="11"/>
        <color theme="1"/>
        <rFont val="Calibri"/>
        <family val="2"/>
      </rPr>
      <t>β</t>
    </r>
  </si>
  <si>
    <t>IL-6</t>
  </si>
  <si>
    <t>IL-27</t>
  </si>
  <si>
    <r>
      <t>IFN-</t>
    </r>
    <r>
      <rPr>
        <b/>
        <sz val="11"/>
        <color theme="1"/>
        <rFont val="Calibri"/>
        <family val="2"/>
      </rPr>
      <t>β</t>
    </r>
  </si>
  <si>
    <t>IL-17A</t>
  </si>
  <si>
    <t>IL10</t>
  </si>
  <si>
    <t>untreated</t>
    <phoneticPr fontId="1" type="noConversion"/>
  </si>
  <si>
    <t>Date</t>
    <phoneticPr fontId="1" type="noConversion"/>
  </si>
  <si>
    <t>4.9.2017</t>
  </si>
  <si>
    <t>7.9.2017</t>
  </si>
  <si>
    <t>10.9.2017</t>
  </si>
  <si>
    <t>13.9.2017</t>
  </si>
  <si>
    <t>16.9.2017</t>
  </si>
  <si>
    <t>19.9.2017</t>
  </si>
  <si>
    <t>22.9.2017</t>
  </si>
  <si>
    <t>mice 1</t>
    <phoneticPr fontId="1" type="noConversion"/>
  </si>
  <si>
    <t>AVERAGE</t>
  </si>
  <si>
    <t>STDEV</t>
  </si>
  <si>
    <t>Date</t>
    <phoneticPr fontId="1" type="noConversion"/>
  </si>
  <si>
    <t>25.9.2017</t>
  </si>
  <si>
    <t>28.9.2017</t>
  </si>
  <si>
    <t>1.10.2017</t>
  </si>
  <si>
    <t>4.10.2017</t>
  </si>
  <si>
    <t>7.10.2017</t>
  </si>
  <si>
    <t>10.10.2017</t>
  </si>
  <si>
    <t>13.10.2017</t>
  </si>
  <si>
    <t>16.10.2017</t>
  </si>
  <si>
    <t>19.10.2017</t>
  </si>
  <si>
    <t>22.10.2017</t>
  </si>
  <si>
    <t>25.10.2017</t>
  </si>
  <si>
    <t>28.10.2017</t>
  </si>
  <si>
    <t>BODY WEIGHT (G) pdx</t>
  </si>
  <si>
    <t>M1 mice 1</t>
  </si>
  <si>
    <t>M2  mice 1</t>
  </si>
  <si>
    <t>mice1</t>
    <phoneticPr fontId="1" type="noConversion"/>
  </si>
  <si>
    <t>PCK-26</t>
  </si>
  <si>
    <t>Vimentin</t>
  </si>
  <si>
    <r>
      <t>SMA-</t>
    </r>
    <r>
      <rPr>
        <sz val="8"/>
        <rFont val="Symbol"/>
        <family val="1"/>
        <charset val="2"/>
      </rPr>
      <t></t>
    </r>
  </si>
  <si>
    <t>DATE</t>
    <phoneticPr fontId="1" type="noConversion"/>
  </si>
  <si>
    <t>14.7.2016</t>
    <phoneticPr fontId="3" type="noConversion"/>
  </si>
  <si>
    <t>17.7.2016</t>
    <phoneticPr fontId="3" type="noConversion"/>
  </si>
  <si>
    <t>20.7.2016</t>
    <phoneticPr fontId="3" type="noConversion"/>
  </si>
  <si>
    <t>23.7.2016</t>
    <phoneticPr fontId="3" type="noConversion"/>
  </si>
  <si>
    <t>26.7.2016</t>
    <phoneticPr fontId="3" type="noConversion"/>
  </si>
  <si>
    <t>29.7.2016</t>
    <phoneticPr fontId="3" type="noConversion"/>
  </si>
  <si>
    <t>mice</t>
    <phoneticPr fontId="1" type="noConversion"/>
  </si>
  <si>
    <t>L</t>
    <phoneticPr fontId="1" type="noConversion"/>
  </si>
  <si>
    <t>B</t>
    <phoneticPr fontId="1" type="noConversion"/>
  </si>
  <si>
    <t>VOLUME=L*B*B/2</t>
    <phoneticPr fontId="1" type="noConversion"/>
  </si>
  <si>
    <t>average</t>
    <phoneticPr fontId="1" type="noConversion"/>
  </si>
  <si>
    <t>SD</t>
    <phoneticPr fontId="1" type="noConversion"/>
  </si>
  <si>
    <t>1.8.2016</t>
    <phoneticPr fontId="3" type="noConversion"/>
  </si>
  <si>
    <t>4.8.2016</t>
    <phoneticPr fontId="3" type="noConversion"/>
  </si>
  <si>
    <t>7.8.2016</t>
    <phoneticPr fontId="3" type="noConversion"/>
  </si>
  <si>
    <t>10.8.2016</t>
    <phoneticPr fontId="3" type="noConversion"/>
  </si>
  <si>
    <t>13.8.2016</t>
    <phoneticPr fontId="3" type="noConversion"/>
  </si>
  <si>
    <t>16.8.2016</t>
    <phoneticPr fontId="3" type="noConversion"/>
  </si>
  <si>
    <t>Sd</t>
    <phoneticPr fontId="1" type="noConversion"/>
  </si>
  <si>
    <t>19.8.2016</t>
    <phoneticPr fontId="3" type="noConversion"/>
  </si>
  <si>
    <t>22.8.2016</t>
    <phoneticPr fontId="3" type="noConversion"/>
  </si>
  <si>
    <t>25.8.2016</t>
    <phoneticPr fontId="3" type="noConversion"/>
  </si>
  <si>
    <t>28.8.2016</t>
    <phoneticPr fontId="3" type="noConversion"/>
  </si>
  <si>
    <t>31.8.2016</t>
    <phoneticPr fontId="3" type="noConversion"/>
  </si>
  <si>
    <t>3.9.2016</t>
    <phoneticPr fontId="3" type="noConversion"/>
  </si>
  <si>
    <t>TUMOR SIZE</t>
  </si>
  <si>
    <t>M0</t>
  </si>
  <si>
    <t>M1</t>
  </si>
  <si>
    <t>M2</t>
  </si>
  <si>
    <t>S</t>
  </si>
  <si>
    <t>M0 mice 1</t>
  </si>
  <si>
    <t>Tumor weight</t>
  </si>
  <si>
    <t>Mice1</t>
  </si>
  <si>
    <t>GKN1</t>
  </si>
  <si>
    <t>GROUP1</t>
    <phoneticPr fontId="1" type="noConversion"/>
  </si>
  <si>
    <r>
      <rPr>
        <sz val="11"/>
        <color theme="1"/>
        <rFont val="Times New Roman"/>
        <family val="1"/>
      </rPr>
      <t>Δ</t>
    </r>
    <r>
      <rPr>
        <sz val="11"/>
        <color theme="1"/>
        <rFont val="宋体"/>
        <family val="2"/>
      </rPr>
      <t>CT=GROUP1-GAPDH</t>
    </r>
  </si>
  <si>
    <t>MEAN</t>
    <phoneticPr fontId="1" type="noConversion"/>
  </si>
  <si>
    <t>SD</t>
    <phoneticPr fontId="1" type="noConversion"/>
  </si>
  <si>
    <t>ΔΔCT</t>
    <phoneticPr fontId="1" type="noConversion"/>
  </si>
  <si>
    <t>2^-ΔΔCT</t>
    <phoneticPr fontId="1" type="noConversion"/>
  </si>
  <si>
    <t xml:space="preserve"> CT 1</t>
    <phoneticPr fontId="1" type="noConversion"/>
  </si>
  <si>
    <t>CT 2</t>
    <phoneticPr fontId="1" type="noConversion"/>
  </si>
  <si>
    <t>CT 3</t>
    <phoneticPr fontId="1" type="noConversion"/>
  </si>
  <si>
    <t xml:space="preserve">CT 1 </t>
    <phoneticPr fontId="1" type="noConversion"/>
  </si>
  <si>
    <t>MICE 1</t>
    <phoneticPr fontId="1" type="noConversion"/>
  </si>
  <si>
    <t>HP</t>
  </si>
  <si>
    <t>MICE 2</t>
    <phoneticPr fontId="1" type="noConversion"/>
  </si>
  <si>
    <t>MICE 3</t>
    <phoneticPr fontId="1" type="noConversion"/>
  </si>
  <si>
    <t>MICE 4</t>
    <phoneticPr fontId="1" type="noConversion"/>
  </si>
  <si>
    <t>MICE 5</t>
    <phoneticPr fontId="1" type="noConversion"/>
  </si>
  <si>
    <t>GROUP1</t>
  </si>
  <si>
    <t>ΔCT=GROUP1-GAPDH</t>
  </si>
  <si>
    <t>ΔΔCT</t>
  </si>
  <si>
    <t>2^-ΔΔCT</t>
  </si>
  <si>
    <t>GKN2</t>
  </si>
  <si>
    <t xml:space="preserve"> CT 1</t>
  </si>
  <si>
    <t>CT 2</t>
  </si>
  <si>
    <t>CT 3</t>
  </si>
  <si>
    <t xml:space="preserve">CT 1 </t>
  </si>
  <si>
    <t>MICE 1</t>
  </si>
  <si>
    <t>MICE 2</t>
  </si>
  <si>
    <t>MICE 3</t>
  </si>
  <si>
    <t>MICE 4</t>
  </si>
  <si>
    <t>MICE 5</t>
  </si>
  <si>
    <t>MICE 3</t>
    <phoneticPr fontId="1" type="noConversion"/>
  </si>
  <si>
    <t>Tff1</t>
  </si>
  <si>
    <t>MICE 3</t>
    <phoneticPr fontId="1" type="noConversion"/>
  </si>
  <si>
    <t>Tff2</t>
  </si>
  <si>
    <t>MICE 3</t>
    <phoneticPr fontId="1" type="noConversion"/>
  </si>
  <si>
    <t>GROUP1</t>
    <phoneticPr fontId="1" type="noConversion"/>
  </si>
  <si>
    <t>MEAN</t>
    <phoneticPr fontId="1" type="noConversion"/>
  </si>
  <si>
    <t>SD</t>
    <phoneticPr fontId="1" type="noConversion"/>
  </si>
  <si>
    <t>ΔΔCT</t>
    <phoneticPr fontId="1" type="noConversion"/>
  </si>
  <si>
    <t>2^-ΔΔCT</t>
    <phoneticPr fontId="1" type="noConversion"/>
  </si>
  <si>
    <t xml:space="preserve"> CT 1</t>
    <phoneticPr fontId="1" type="noConversion"/>
  </si>
  <si>
    <t>CT 2</t>
    <phoneticPr fontId="1" type="noConversion"/>
  </si>
  <si>
    <t>CT 3</t>
    <phoneticPr fontId="1" type="noConversion"/>
  </si>
  <si>
    <t xml:space="preserve">CT 1 </t>
    <phoneticPr fontId="1" type="noConversion"/>
  </si>
  <si>
    <t>MICE 1</t>
    <phoneticPr fontId="1" type="noConversion"/>
  </si>
  <si>
    <t>MICE 2</t>
    <phoneticPr fontId="1" type="noConversion"/>
  </si>
  <si>
    <t>MICE 3</t>
    <phoneticPr fontId="1" type="noConversion"/>
  </si>
  <si>
    <t>MICE 4</t>
    <phoneticPr fontId="1" type="noConversion"/>
  </si>
  <si>
    <t>MICE 5</t>
    <phoneticPr fontId="1" type="noConversion"/>
  </si>
  <si>
    <t>Gastrin</t>
  </si>
  <si>
    <t>MEAN</t>
    <phoneticPr fontId="1" type="noConversion"/>
  </si>
  <si>
    <t>HK ATPase</t>
  </si>
  <si>
    <t>MICE 4</t>
    <phoneticPr fontId="1" type="noConversion"/>
  </si>
  <si>
    <t>MICE 5</t>
    <phoneticPr fontId="1" type="noConversion"/>
  </si>
  <si>
    <t>Somastatin</t>
  </si>
  <si>
    <t>MICE 5</t>
    <phoneticPr fontId="1" type="noConversion"/>
  </si>
  <si>
    <t>IHC</t>
  </si>
  <si>
    <t>mice1</t>
    <phoneticPr fontId="1" type="noConversion"/>
  </si>
  <si>
    <t>mice2</t>
    <phoneticPr fontId="1" type="noConversion"/>
  </si>
  <si>
    <t>mice3</t>
    <phoneticPr fontId="1" type="noConversion"/>
  </si>
  <si>
    <t>mice4</t>
    <phoneticPr fontId="1" type="noConversion"/>
  </si>
  <si>
    <t>mice5</t>
    <phoneticPr fontId="1" type="noConversion"/>
  </si>
  <si>
    <t>HP</t>
    <phoneticPr fontId="1" type="noConversion"/>
  </si>
  <si>
    <t>MPO</t>
    <phoneticPr fontId="1" type="noConversion"/>
  </si>
  <si>
    <t>F4/80</t>
    <phoneticPr fontId="1" type="noConversion"/>
  </si>
  <si>
    <t>capsaicin ELISA</t>
  </si>
  <si>
    <t>Standard concentration</t>
  </si>
  <si>
    <t>0 ppm</t>
  </si>
  <si>
    <t>.0625 ppm</t>
  </si>
  <si>
    <t>.1250 ppm</t>
  </si>
  <si>
    <t>.2500 ppm</t>
  </si>
  <si>
    <t>.5000 ppm</t>
  </si>
  <si>
    <t>1 ppm</t>
  </si>
  <si>
    <t>2 ppm</t>
  </si>
  <si>
    <t>Capsaicin+HP1</t>
  </si>
  <si>
    <t>Capsaicin+HP2</t>
  </si>
  <si>
    <t>Capsaicin+HP3</t>
  </si>
  <si>
    <t>Capsaicin1</t>
  </si>
  <si>
    <t>Capsaicin2</t>
  </si>
  <si>
    <t>Capsaicin3</t>
  </si>
  <si>
    <t>Mouse serum samples</t>
  </si>
  <si>
    <t>capsaicin4</t>
  </si>
  <si>
    <t>capsaicin5</t>
  </si>
  <si>
    <t>Capsaicin+HP4</t>
  </si>
  <si>
    <t>Capsaicin+HP5</t>
  </si>
  <si>
    <t>Mouse Urine samples</t>
  </si>
  <si>
    <t>samples</t>
  </si>
  <si>
    <t>Normal 2</t>
  </si>
  <si>
    <t>Normal 1</t>
  </si>
  <si>
    <t>Normal 3</t>
  </si>
  <si>
    <t>Normal 4</t>
  </si>
  <si>
    <t>Normal 5</t>
  </si>
  <si>
    <t>Gastritis 1</t>
  </si>
  <si>
    <t>Gastritis 2</t>
  </si>
  <si>
    <t>Gastritis 3</t>
  </si>
  <si>
    <t>Gastritis 4</t>
  </si>
  <si>
    <t>Gastritis 5</t>
  </si>
  <si>
    <t>Gas. Cancer 1</t>
  </si>
  <si>
    <t>Gas. Cancer 2</t>
  </si>
  <si>
    <t>Gas. Cancer 3</t>
  </si>
  <si>
    <t>Gas. Cancer 4</t>
  </si>
  <si>
    <t>Gas. Cancer 5</t>
  </si>
  <si>
    <t>Huam Serum samples</t>
  </si>
  <si>
    <t>Huam Urine samples</t>
  </si>
  <si>
    <t xml:space="preserve">OD1 </t>
  </si>
  <si>
    <t xml:space="preserve">OD2 </t>
  </si>
  <si>
    <t>OD3</t>
  </si>
  <si>
    <t>MEAN</t>
    <phoneticPr fontId="4" type="noConversion"/>
  </si>
  <si>
    <t>GASTRITIS</t>
    <phoneticPr fontId="4" type="noConversion"/>
  </si>
  <si>
    <t>CANCER</t>
    <phoneticPr fontId="4" type="noConversion"/>
  </si>
  <si>
    <t>Human Capsaicin intake</t>
  </si>
  <si>
    <t xml:space="preserve">NORMAL </t>
    <phoneticPr fontId="4" type="noConversion"/>
  </si>
  <si>
    <t>Convert into mice by mutypling 12</t>
    <phoneticPr fontId="4" type="noConversion"/>
  </si>
  <si>
    <t xml:space="preserve"> Food intake (g/day)</t>
  </si>
  <si>
    <t>28-9-2016</t>
    <phoneticPr fontId="1" type="noConversion"/>
  </si>
  <si>
    <t>29-9-2016</t>
    <phoneticPr fontId="1" type="noConversion"/>
  </si>
  <si>
    <t>30/9/2016</t>
    <phoneticPr fontId="1" type="noConversion"/>
  </si>
  <si>
    <t>14-10-2016</t>
    <phoneticPr fontId="1" type="noConversion"/>
  </si>
  <si>
    <t>15-10-2016</t>
    <phoneticPr fontId="1" type="noConversion"/>
  </si>
  <si>
    <t>16-10-2016</t>
    <phoneticPr fontId="1" type="noConversion"/>
  </si>
  <si>
    <t>17-10-2016</t>
    <phoneticPr fontId="1" type="noConversion"/>
  </si>
  <si>
    <t>18-10-2016</t>
    <phoneticPr fontId="1" type="noConversion"/>
  </si>
  <si>
    <t>20-10-2016</t>
    <phoneticPr fontId="1" type="noConversion"/>
  </si>
  <si>
    <t>22-10-2016</t>
    <phoneticPr fontId="1" type="noConversion"/>
  </si>
  <si>
    <t>24/10/2016</t>
    <phoneticPr fontId="1" type="noConversion"/>
  </si>
  <si>
    <t>26/10/2016</t>
    <phoneticPr fontId="1" type="noConversion"/>
  </si>
  <si>
    <t>28/10/2016</t>
    <phoneticPr fontId="1" type="noConversion"/>
  </si>
  <si>
    <t>30/10/2016</t>
    <phoneticPr fontId="1" type="noConversion"/>
  </si>
  <si>
    <t>14-11-2016</t>
    <phoneticPr fontId="1" type="noConversion"/>
  </si>
  <si>
    <t>16-11-2016</t>
    <phoneticPr fontId="1" type="noConversion"/>
  </si>
  <si>
    <t>18-11-2016</t>
    <phoneticPr fontId="1" type="noConversion"/>
  </si>
  <si>
    <t>20-11-2016</t>
    <phoneticPr fontId="1" type="noConversion"/>
  </si>
  <si>
    <t>22-11-2016</t>
    <phoneticPr fontId="1" type="noConversion"/>
  </si>
  <si>
    <t>24/11/2016</t>
    <phoneticPr fontId="1" type="noConversion"/>
  </si>
  <si>
    <t>26/11/2016</t>
    <phoneticPr fontId="1" type="noConversion"/>
  </si>
  <si>
    <t>28/11/2016</t>
    <phoneticPr fontId="1" type="noConversion"/>
  </si>
  <si>
    <t>30-11-2016</t>
    <phoneticPr fontId="1" type="noConversion"/>
  </si>
  <si>
    <t>mice1</t>
  </si>
  <si>
    <t>mice2</t>
  </si>
  <si>
    <t>mice3</t>
  </si>
  <si>
    <t>mice4</t>
  </si>
  <si>
    <t>mice5</t>
  </si>
  <si>
    <t>miec6</t>
  </si>
  <si>
    <t>mice7</t>
  </si>
  <si>
    <t>mice8</t>
  </si>
  <si>
    <t>mice9</t>
  </si>
  <si>
    <t>mice10</t>
  </si>
  <si>
    <t>Food Intake</t>
  </si>
  <si>
    <t>SD</t>
    <phoneticPr fontId="1" type="noConversion"/>
  </si>
  <si>
    <t>mean (g)</t>
  </si>
  <si>
    <t xml:space="preserve">g/kg/day  </t>
  </si>
  <si>
    <t>Days</t>
  </si>
  <si>
    <t>Capsaicin mice group</t>
  </si>
  <si>
    <r>
      <t>Capsaicin+</t>
    </r>
    <r>
      <rPr>
        <b/>
        <i/>
        <sz val="11"/>
        <color theme="1"/>
        <rFont val="Calibri"/>
        <family val="2"/>
        <scheme val="minor"/>
      </rPr>
      <t xml:space="preserve">H. pylori </t>
    </r>
    <r>
      <rPr>
        <b/>
        <sz val="11"/>
        <color theme="1"/>
        <rFont val="Calibri"/>
        <family val="2"/>
        <scheme val="minor"/>
      </rPr>
      <t>mice group</t>
    </r>
  </si>
  <si>
    <t>concentration (ppm)</t>
  </si>
  <si>
    <t xml:space="preserve">Blank - sample </t>
  </si>
  <si>
    <t>concentration g/L</t>
  </si>
  <si>
    <t>concentration g/Kg/day</t>
  </si>
  <si>
    <t>Food intake (calories)</t>
  </si>
  <si>
    <t>1 grams= 7.716179176 calories</t>
  </si>
  <si>
    <r>
      <t xml:space="preserve">Intake Human capsaicin dose
(g/60kg/day)
</t>
    </r>
    <r>
      <rPr>
        <sz val="10"/>
        <color rgb="FF000000"/>
        <rFont val="Times New Roman"/>
        <family val="1"/>
      </rPr>
      <t xml:space="preserve"> </t>
    </r>
  </si>
  <si>
    <r>
      <t>Intake</t>
    </r>
    <r>
      <rPr>
        <sz val="10"/>
        <color rgb="FF000000"/>
        <rFont val="Times New Roman"/>
        <family val="1"/>
      </rPr>
      <t xml:space="preserve">  (g/day) </t>
    </r>
    <r>
      <rPr>
        <b/>
        <sz val="10"/>
        <color rgb="FF000000"/>
        <rFont val="Times New Roman"/>
        <family val="1"/>
      </rPr>
      <t>consider 40% capsaicin</t>
    </r>
  </si>
  <si>
    <t>Capsaicin6</t>
  </si>
  <si>
    <t>capsaicin7</t>
  </si>
  <si>
    <t>Capsaicin8</t>
  </si>
  <si>
    <t>Capsaicin9</t>
  </si>
  <si>
    <t>Capsaicin10</t>
  </si>
  <si>
    <t>Capsaicin+HP6</t>
  </si>
  <si>
    <t>Capsaicin+HP7</t>
  </si>
  <si>
    <t>Capsaicin+HP8</t>
  </si>
  <si>
    <t>Capsaicin+HP9</t>
  </si>
  <si>
    <t>Capsaicin+HP10</t>
  </si>
  <si>
    <t>Capsaicin7</t>
  </si>
  <si>
    <t>1.1.294</t>
  </si>
  <si>
    <t>Date</t>
    <phoneticPr fontId="1" type="noConversion"/>
  </si>
  <si>
    <t>3A</t>
    <phoneticPr fontId="1" type="noConversion"/>
  </si>
  <si>
    <t>3B</t>
    <phoneticPr fontId="1" type="noConversion"/>
  </si>
  <si>
    <t>3C</t>
    <phoneticPr fontId="1" type="noConversion"/>
  </si>
  <si>
    <t>3D</t>
    <phoneticPr fontId="1" type="noConversion"/>
  </si>
  <si>
    <t>3E</t>
    <phoneticPr fontId="1" type="noConversion"/>
  </si>
  <si>
    <t>2-jan-1017</t>
  </si>
  <si>
    <t>mean</t>
    <phoneticPr fontId="1" type="noConversion"/>
  </si>
  <si>
    <t>sd</t>
    <phoneticPr fontId="1" type="noConversion"/>
  </si>
  <si>
    <t>2-jan-1017</t>
    <phoneticPr fontId="1" type="noConversion"/>
  </si>
  <si>
    <t>DFMO= 200MG/KG</t>
  </si>
  <si>
    <t>Pepsinogen 1</t>
  </si>
  <si>
    <t>Pepsinogen 2</t>
  </si>
  <si>
    <t>capsaicin+HP gastritis</t>
  </si>
  <si>
    <t>HP eradicated</t>
  </si>
  <si>
    <t>DFMO (100mg/kg)</t>
  </si>
  <si>
    <t>DFMO (200 mg/kg)</t>
  </si>
  <si>
    <t>Fig#1d</t>
  </si>
  <si>
    <t>Fig#1c</t>
  </si>
  <si>
    <t>Fig#2d</t>
  </si>
  <si>
    <t>Fig#2e</t>
  </si>
  <si>
    <t>Fig#2f</t>
  </si>
  <si>
    <t>Fig#3c</t>
  </si>
  <si>
    <t>Fig#3d</t>
  </si>
  <si>
    <t>fig#3a</t>
  </si>
  <si>
    <t>fig#3b</t>
  </si>
  <si>
    <t>Fig#4a</t>
  </si>
  <si>
    <t>Fig#4b</t>
  </si>
  <si>
    <t>Fig#4c</t>
  </si>
  <si>
    <t>Fig#4d</t>
  </si>
  <si>
    <t>Fig#4e</t>
  </si>
  <si>
    <t>Fig#5d</t>
  </si>
  <si>
    <t>Fig#5e</t>
  </si>
  <si>
    <t>Fig#5c</t>
  </si>
  <si>
    <t>Fig$5b</t>
  </si>
  <si>
    <t>Fig#6a</t>
  </si>
  <si>
    <t>Fig#6b</t>
  </si>
  <si>
    <t>Fig7a-l</t>
  </si>
  <si>
    <t>Fig7f</t>
  </si>
  <si>
    <t>Fig7h</t>
  </si>
  <si>
    <t>Fig7b</t>
  </si>
  <si>
    <t>Fig7a</t>
  </si>
  <si>
    <t>Fig7i</t>
  </si>
  <si>
    <t>Fig7j</t>
  </si>
  <si>
    <t>Fig7c</t>
  </si>
  <si>
    <t>Fig7l</t>
  </si>
  <si>
    <t>Fig7g</t>
  </si>
  <si>
    <t>Fig7k</t>
  </si>
  <si>
    <t>Fig7d</t>
  </si>
  <si>
    <t>Fig7e</t>
  </si>
  <si>
    <t>COX1</t>
  </si>
  <si>
    <t>COX2</t>
  </si>
  <si>
    <t>Capsaicin+HP (gastritis) 32 weeks</t>
  </si>
  <si>
    <t>DFMO (200mg/kg)</t>
  </si>
  <si>
    <t>DFMO(100mg/kg)</t>
  </si>
  <si>
    <t>Fig#2a, b, c</t>
  </si>
  <si>
    <t>Capsaicin Intake</t>
  </si>
  <si>
    <t>Food intake date</t>
  </si>
  <si>
    <t>Capsaicin+HP gastritis</t>
  </si>
  <si>
    <t>H. pylori eradicated</t>
  </si>
  <si>
    <t>DFMO(200mg/kg)</t>
  </si>
  <si>
    <t>Beads array analysis of cytokine in DFMO gastric cacner preventive mice model</t>
  </si>
  <si>
    <t>Fig8c-d</t>
  </si>
  <si>
    <t>Fig8c</t>
  </si>
  <si>
    <t>Fig8d</t>
  </si>
  <si>
    <t>Fig#8e,f</t>
  </si>
  <si>
    <t>Fig#8g</t>
  </si>
  <si>
    <t>Supplementary 1a-d</t>
  </si>
  <si>
    <t>supp1a</t>
  </si>
  <si>
    <t>Supp1c</t>
  </si>
  <si>
    <t>Supp1b</t>
  </si>
  <si>
    <t>Supp1d</t>
  </si>
  <si>
    <t>Supp#2a-b</t>
  </si>
  <si>
    <t>Supp#3a-d</t>
  </si>
  <si>
    <t>Supp#3a</t>
  </si>
  <si>
    <t>Supp#3b</t>
  </si>
  <si>
    <t>Supp#3c</t>
  </si>
  <si>
    <t>Supp#3d</t>
  </si>
  <si>
    <t>Rpl32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</si>
</sst>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000"/>
    <numFmt numFmtId="165" formatCode="0.0000_);[Red]\(0.0000\)"/>
    <numFmt numFmtId="166" formatCode="0.000000000"/>
    <numFmt numFmtId="167" formatCode="0.000"/>
    <numFmt numFmtId="168" formatCode="0.00000000"/>
  </numFmts>
  <fonts count="3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3"/>
      <charset val="134"/>
      <scheme val="minor"/>
    </font>
    <font>
      <sz val="11"/>
      <name val="Calibri"/>
      <family val="3"/>
      <charset val="134"/>
      <scheme val="minor"/>
    </font>
    <font>
      <b/>
      <sz val="10"/>
      <name val="Calibri"/>
      <family val="3"/>
      <charset val="134"/>
      <scheme val="minor"/>
    </font>
    <font>
      <sz val="10"/>
      <name val="Calibri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Calibri"/>
      <family val="3"/>
      <charset val="134"/>
      <scheme val="minor"/>
    </font>
    <font>
      <sz val="8"/>
      <name val="Arial"/>
      <family val="2"/>
    </font>
    <font>
      <b/>
      <sz val="11"/>
      <color theme="1"/>
      <name val="Calibri"/>
      <family val="2"/>
    </font>
    <font>
      <b/>
      <sz val="12"/>
      <color theme="1"/>
      <name val="Arial"/>
      <family val="2"/>
    </font>
    <font>
      <b/>
      <sz val="8"/>
      <name val="Arial"/>
      <family val="2"/>
    </font>
    <font>
      <sz val="8"/>
      <name val="Arial"/>
    </font>
    <font>
      <b/>
      <sz val="14"/>
      <color theme="1"/>
      <name val="Calibri"/>
      <family val="3"/>
      <charset val="129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11"/>
      <color theme="1"/>
      <name val="Calibri"/>
      <family val="3"/>
      <charset val="129"/>
      <scheme val="minor"/>
    </font>
    <font>
      <b/>
      <sz val="11"/>
      <color theme="1"/>
      <name val="Calibri"/>
      <family val="3"/>
      <charset val="129"/>
      <scheme val="minor"/>
    </font>
    <font>
      <sz val="8"/>
      <name val="Symbol"/>
      <family val="1"/>
      <charset val="2"/>
    </font>
    <font>
      <sz val="11"/>
      <color theme="1"/>
      <name val="宋体"/>
      <family val="2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rgb="FF00000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3" fillId="0" borderId="0" xfId="0" applyFont="1" applyFill="1"/>
    <xf numFmtId="15" fontId="4" fillId="0" borderId="0" xfId="0" applyNumberFormat="1" applyFont="1" applyFill="1"/>
    <xf numFmtId="0" fontId="4" fillId="0" borderId="0" xfId="0" applyFont="1" applyFill="1"/>
    <xf numFmtId="0" fontId="1" fillId="0" borderId="0" xfId="0" applyFont="1"/>
    <xf numFmtId="0" fontId="4" fillId="0" borderId="0" xfId="0" applyFont="1" applyFill="1" applyAlignment="1">
      <alignment horizontal="right"/>
    </xf>
    <xf numFmtId="0" fontId="5" fillId="0" borderId="0" xfId="0" applyFont="1" applyFill="1"/>
    <xf numFmtId="15" fontId="4" fillId="0" borderId="0" xfId="0" applyNumberFormat="1" applyFont="1"/>
    <xf numFmtId="0" fontId="6" fillId="0" borderId="0" xfId="0" applyFont="1" applyFill="1"/>
    <xf numFmtId="15" fontId="6" fillId="0" borderId="0" xfId="0" applyNumberFormat="1" applyFont="1" applyFill="1"/>
    <xf numFmtId="0" fontId="7" fillId="0" borderId="0" xfId="0" applyFont="1" applyFill="1"/>
    <xf numFmtId="15" fontId="8" fillId="0" borderId="0" xfId="0" applyNumberFormat="1" applyFont="1" applyFill="1"/>
    <xf numFmtId="0" fontId="8" fillId="0" borderId="0" xfId="0" applyFont="1" applyFill="1" applyAlignment="1">
      <alignment horizontal="right"/>
    </xf>
    <xf numFmtId="0" fontId="8" fillId="0" borderId="0" xfId="0" applyFont="1" applyFill="1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/>
    <xf numFmtId="0" fontId="10" fillId="0" borderId="0" xfId="0" applyFont="1"/>
    <xf numFmtId="0" fontId="1" fillId="0" borderId="0" xfId="0" applyFont="1" applyAlignment="1"/>
    <xf numFmtId="164" fontId="0" fillId="0" borderId="0" xfId="0" applyNumberFormat="1"/>
    <xf numFmtId="0" fontId="2" fillId="0" borderId="0" xfId="0" applyFont="1"/>
    <xf numFmtId="0" fontId="0" fillId="0" borderId="0" xfId="0" applyAlignment="1"/>
    <xf numFmtId="165" fontId="0" fillId="0" borderId="0" xfId="0" applyNumberFormat="1"/>
    <xf numFmtId="0" fontId="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4" fontId="9" fillId="0" borderId="0" xfId="0" applyNumberFormat="1" applyFont="1" applyAlignment="1">
      <alignment vertical="center"/>
    </xf>
    <xf numFmtId="0" fontId="17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2" fontId="0" fillId="0" borderId="2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2" fontId="0" fillId="0" borderId="0" xfId="0" applyNumberFormat="1" applyBorder="1" applyAlignment="1">
      <alignment vertical="center"/>
    </xf>
    <xf numFmtId="0" fontId="18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8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2" xfId="0" applyFont="1" applyBorder="1" applyAlignment="1">
      <alignment vertical="center"/>
    </xf>
    <xf numFmtId="0" fontId="9" fillId="0" borderId="0" xfId="0" applyFont="1"/>
    <xf numFmtId="0" fontId="14" fillId="0" borderId="0" xfId="0" applyFont="1" applyAlignment="1">
      <alignment horizontal="left"/>
    </xf>
    <xf numFmtId="2" fontId="0" fillId="0" borderId="0" xfId="0" applyNumberFormat="1" applyAlignment="1">
      <alignment vertical="center"/>
    </xf>
    <xf numFmtId="0" fontId="21" fillId="0" borderId="0" xfId="0" applyFont="1"/>
    <xf numFmtId="0" fontId="0" fillId="0" borderId="0" xfId="0" applyFill="1"/>
    <xf numFmtId="0" fontId="22" fillId="0" borderId="0" xfId="0" applyFont="1"/>
    <xf numFmtId="0" fontId="23" fillId="0" borderId="9" xfId="0" applyFont="1" applyBorder="1" applyAlignment="1">
      <alignment horizontal="left" vertical="top" wrapText="1" readingOrder="1"/>
    </xf>
    <xf numFmtId="0" fontId="23" fillId="0" borderId="10" xfId="0" applyFont="1" applyBorder="1" applyAlignment="1">
      <alignment horizontal="left" vertical="top" wrapText="1" readingOrder="1"/>
    </xf>
    <xf numFmtId="0" fontId="24" fillId="0" borderId="10" xfId="0" applyFont="1" applyBorder="1" applyAlignment="1">
      <alignment horizontal="left" vertical="top" wrapText="1" readingOrder="1"/>
    </xf>
    <xf numFmtId="0" fontId="22" fillId="0" borderId="0" xfId="0" applyFont="1" applyFill="1"/>
    <xf numFmtId="0" fontId="24" fillId="0" borderId="0" xfId="0" applyFont="1" applyBorder="1" applyAlignment="1">
      <alignment horizontal="left" vertical="top" wrapText="1" readingOrder="1"/>
    </xf>
    <xf numFmtId="0" fontId="24" fillId="0" borderId="10" xfId="0" applyFont="1" applyFill="1" applyBorder="1" applyAlignment="1">
      <alignment horizontal="left" vertical="top" wrapText="1" readingOrder="1"/>
    </xf>
    <xf numFmtId="166" fontId="0" fillId="0" borderId="0" xfId="0" applyNumberFormat="1"/>
    <xf numFmtId="0" fontId="29" fillId="0" borderId="0" xfId="0" applyFont="1"/>
    <xf numFmtId="0" fontId="22" fillId="0" borderId="0" xfId="0" applyFont="1" applyAlignment="1">
      <alignment horizontal="left"/>
    </xf>
    <xf numFmtId="0" fontId="24" fillId="0" borderId="10" xfId="0" applyFont="1" applyBorder="1" applyAlignment="1">
      <alignment horizontal="left" vertical="top" wrapText="1"/>
    </xf>
    <xf numFmtId="0" fontId="22" fillId="0" borderId="0" xfId="0" applyFont="1" applyFill="1" applyAlignment="1">
      <alignment horizontal="left"/>
    </xf>
    <xf numFmtId="168" fontId="0" fillId="0" borderId="0" xfId="0" applyNumberFormat="1"/>
    <xf numFmtId="0" fontId="0" fillId="0" borderId="0" xfId="0" applyFont="1" applyAlignment="1">
      <alignment vertical="center"/>
    </xf>
    <xf numFmtId="0" fontId="10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14" fontId="9" fillId="0" borderId="0" xfId="0" applyNumberFormat="1" applyFont="1" applyFill="1" applyAlignment="1">
      <alignment horizontal="center"/>
    </xf>
    <xf numFmtId="0" fontId="9" fillId="0" borderId="0" xfId="0" applyFont="1" applyFill="1"/>
    <xf numFmtId="0" fontId="28" fillId="0" borderId="0" xfId="0" applyFont="1" applyFill="1" applyAlignment="1">
      <alignment horizontal="center"/>
    </xf>
    <xf numFmtId="0" fontId="25" fillId="0" borderId="0" xfId="0" applyFont="1" applyFill="1" applyAlignment="1">
      <alignment horizontal="center" vertical="center"/>
    </xf>
    <xf numFmtId="167" fontId="0" fillId="0" borderId="0" xfId="0" applyNumberFormat="1" applyFill="1"/>
    <xf numFmtId="0" fontId="26" fillId="0" borderId="0" xfId="0" applyFont="1" applyFill="1" applyAlignment="1">
      <alignment horizontal="center" vertical="center"/>
    </xf>
    <xf numFmtId="166" fontId="0" fillId="0" borderId="0" xfId="0" applyNumberFormat="1" applyFill="1"/>
    <xf numFmtId="0" fontId="1" fillId="0" borderId="0" xfId="0" applyFont="1" applyFill="1" applyAlignment="1">
      <alignment horizontal="center"/>
    </xf>
    <xf numFmtId="14" fontId="0" fillId="0" borderId="0" xfId="0" applyNumberFormat="1" applyFill="1"/>
    <xf numFmtId="0" fontId="28" fillId="0" borderId="0" xfId="0" applyFont="1" applyFill="1"/>
    <xf numFmtId="0" fontId="30" fillId="0" borderId="0" xfId="0" applyFont="1" applyFill="1"/>
    <xf numFmtId="15" fontId="30" fillId="0" borderId="0" xfId="0" applyNumberFormat="1" applyFont="1" applyFill="1"/>
    <xf numFmtId="16" fontId="30" fillId="0" borderId="0" xfId="0" applyNumberFormat="1" applyFont="1" applyFill="1"/>
    <xf numFmtId="15" fontId="0" fillId="0" borderId="0" xfId="0" applyNumberFormat="1" applyFill="1"/>
    <xf numFmtId="16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477537182852143"/>
          <c:y val="0.15782407407407409"/>
          <c:w val="0.84273862642169728"/>
          <c:h val="0.72088764946048411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'Fig#6a'!$R$33:$R$39</c:f>
              <c:numCache>
                <c:formatCode>General</c:formatCode>
                <c:ptCount val="7"/>
                <c:pt idx="0">
                  <c:v>0</c:v>
                </c:pt>
                <c:pt idx="1">
                  <c:v>0.625</c:v>
                </c:pt>
                <c:pt idx="2">
                  <c:v>0.125</c:v>
                </c:pt>
                <c:pt idx="3">
                  <c:v>0.25</c:v>
                </c:pt>
                <c:pt idx="4">
                  <c:v>0.5</c:v>
                </c:pt>
                <c:pt idx="5">
                  <c:v>1</c:v>
                </c:pt>
                <c:pt idx="6">
                  <c:v>2</c:v>
                </c:pt>
              </c:numCache>
            </c:numRef>
          </c:xVal>
          <c:yVal>
            <c:numRef>
              <c:f>'Fig#6a'!$S$33:$S$39</c:f>
              <c:numCache>
                <c:formatCode>0.0000</c:formatCode>
                <c:ptCount val="7"/>
                <c:pt idx="0">
                  <c:v>8.77E-2</c:v>
                </c:pt>
                <c:pt idx="1">
                  <c:v>0.15090000000000001</c:v>
                </c:pt>
                <c:pt idx="2">
                  <c:v>0.1905</c:v>
                </c:pt>
                <c:pt idx="3">
                  <c:v>0.29780000000000001</c:v>
                </c:pt>
                <c:pt idx="4">
                  <c:v>0.50480000000000003</c:v>
                </c:pt>
                <c:pt idx="5">
                  <c:v>0.9032</c:v>
                </c:pt>
                <c:pt idx="6">
                  <c:v>1.4771000000000001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55C-4A30-A901-B4BF1B40E9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7423888"/>
        <c:axId val="287425136"/>
      </c:scatterChart>
      <c:valAx>
        <c:axId val="287423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7425136"/>
        <c:crosses val="autoZero"/>
        <c:crossBetween val="midCat"/>
      </c:valAx>
      <c:valAx>
        <c:axId val="287425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74238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462853985357093"/>
          <c:y val="0.16888903409895339"/>
          <c:w val="0.78030142284845971"/>
          <c:h val="0.70982280741878212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'Fig#6a'!$R$33:$R$39</c:f>
              <c:numCache>
                <c:formatCode>General</c:formatCode>
                <c:ptCount val="7"/>
                <c:pt idx="0">
                  <c:v>0</c:v>
                </c:pt>
                <c:pt idx="1">
                  <c:v>0.625</c:v>
                </c:pt>
                <c:pt idx="2">
                  <c:v>0.125</c:v>
                </c:pt>
                <c:pt idx="3">
                  <c:v>0.25</c:v>
                </c:pt>
                <c:pt idx="4">
                  <c:v>0.5</c:v>
                </c:pt>
                <c:pt idx="5">
                  <c:v>1</c:v>
                </c:pt>
                <c:pt idx="6">
                  <c:v>2</c:v>
                </c:pt>
              </c:numCache>
            </c:numRef>
          </c:xVal>
          <c:yVal>
            <c:numRef>
              <c:f>'Fig#6a'!$S$33:$S$39</c:f>
              <c:numCache>
                <c:formatCode>0.0000</c:formatCode>
                <c:ptCount val="7"/>
                <c:pt idx="0">
                  <c:v>8.77E-2</c:v>
                </c:pt>
                <c:pt idx="1">
                  <c:v>0.15090000000000001</c:v>
                </c:pt>
                <c:pt idx="2">
                  <c:v>0.1905</c:v>
                </c:pt>
                <c:pt idx="3">
                  <c:v>0.29780000000000001</c:v>
                </c:pt>
                <c:pt idx="4">
                  <c:v>0.50480000000000003</c:v>
                </c:pt>
                <c:pt idx="5">
                  <c:v>0.9032</c:v>
                </c:pt>
                <c:pt idx="6">
                  <c:v>1.4771000000000001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36E-4C42-BB00-F4E2A2D13F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7423888"/>
        <c:axId val="287425136"/>
      </c:scatterChart>
      <c:valAx>
        <c:axId val="287423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7425136"/>
        <c:crosses val="autoZero"/>
        <c:crossBetween val="midCat"/>
      </c:valAx>
      <c:valAx>
        <c:axId val="287425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74238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552450</xdr:colOff>
      <xdr:row>28</xdr:row>
      <xdr:rowOff>152400</xdr:rowOff>
    </xdr:from>
    <xdr:to>
      <xdr:col>27</xdr:col>
      <xdr:colOff>247650</xdr:colOff>
      <xdr:row>43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419101</xdr:colOff>
      <xdr:row>52</xdr:row>
      <xdr:rowOff>47625</xdr:rowOff>
    </xdr:from>
    <xdr:to>
      <xdr:col>20</xdr:col>
      <xdr:colOff>381001</xdr:colOff>
      <xdr:row>64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8"/>
  <sheetViews>
    <sheetView topLeftCell="D1" workbookViewId="0">
      <selection activeCell="I10" sqref="I10"/>
    </sheetView>
  </sheetViews>
  <sheetFormatPr defaultRowHeight="15"/>
  <cols>
    <col min="1" max="1" width="15.140625" customWidth="1"/>
  </cols>
  <sheetData>
    <row r="2" spans="1:23">
      <c r="A2" t="s">
        <v>399</v>
      </c>
    </row>
    <row r="3" spans="1:23">
      <c r="A3" t="s">
        <v>0</v>
      </c>
      <c r="D3" t="s">
        <v>70</v>
      </c>
    </row>
    <row r="5" spans="1:23">
      <c r="A5" t="s">
        <v>4</v>
      </c>
      <c r="E5" s="72" t="s">
        <v>5</v>
      </c>
      <c r="F5" s="72"/>
      <c r="G5" s="72"/>
      <c r="H5" s="72"/>
      <c r="I5" s="72" t="s">
        <v>6</v>
      </c>
      <c r="J5" s="72"/>
      <c r="K5" s="72"/>
      <c r="L5" s="72"/>
      <c r="M5" s="72"/>
      <c r="N5" s="73" t="s">
        <v>7</v>
      </c>
      <c r="O5" s="73"/>
      <c r="P5" s="73"/>
      <c r="Q5" s="73"/>
      <c r="R5" s="73"/>
      <c r="S5" s="76" t="s">
        <v>8</v>
      </c>
      <c r="T5" s="76"/>
      <c r="U5" s="76"/>
      <c r="V5" s="76"/>
      <c r="W5" s="76"/>
    </row>
    <row r="6" spans="1:23">
      <c r="A6" t="s">
        <v>1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55">
        <v>6.6</v>
      </c>
      <c r="T6" s="55">
        <v>6.2</v>
      </c>
      <c r="U6" s="55">
        <v>3.6</v>
      </c>
      <c r="V6" s="55">
        <v>5.2</v>
      </c>
      <c r="W6" s="55">
        <v>4.2</v>
      </c>
    </row>
    <row r="7" spans="1:23">
      <c r="A7" t="s">
        <v>2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55">
        <v>8.1</v>
      </c>
      <c r="T7" s="55">
        <v>5.6</v>
      </c>
      <c r="U7" s="55">
        <v>4.4000000000000004</v>
      </c>
      <c r="V7" s="55">
        <v>6.1</v>
      </c>
      <c r="W7" s="55">
        <v>3.7</v>
      </c>
    </row>
    <row r="8" spans="1:23">
      <c r="A8" t="s">
        <v>3</v>
      </c>
      <c r="D8">
        <f>D6*D7</f>
        <v>0</v>
      </c>
      <c r="E8">
        <f t="shared" ref="E8:M8" si="0">E6*E7</f>
        <v>0</v>
      </c>
      <c r="F8">
        <f t="shared" si="0"/>
        <v>0</v>
      </c>
      <c r="G8">
        <f t="shared" si="0"/>
        <v>0</v>
      </c>
      <c r="H8">
        <f t="shared" si="0"/>
        <v>0</v>
      </c>
      <c r="I8">
        <f t="shared" si="0"/>
        <v>0</v>
      </c>
      <c r="J8">
        <f t="shared" si="0"/>
        <v>0</v>
      </c>
      <c r="K8">
        <f t="shared" si="0"/>
        <v>0</v>
      </c>
      <c r="L8">
        <f t="shared" si="0"/>
        <v>0</v>
      </c>
      <c r="M8">
        <f t="shared" si="0"/>
        <v>0</v>
      </c>
      <c r="N8">
        <f>N6*N7</f>
        <v>0</v>
      </c>
      <c r="O8">
        <f t="shared" ref="O8:R8" si="1">O6*O7</f>
        <v>0</v>
      </c>
      <c r="P8">
        <f t="shared" si="1"/>
        <v>0</v>
      </c>
      <c r="Q8">
        <f t="shared" si="1"/>
        <v>0</v>
      </c>
      <c r="R8">
        <f t="shared" si="1"/>
        <v>0</v>
      </c>
      <c r="S8" s="55">
        <f>S6*S7</f>
        <v>53.459999999999994</v>
      </c>
      <c r="T8" s="55">
        <f>T6*T7</f>
        <v>34.72</v>
      </c>
      <c r="U8" s="55">
        <f>U6*U7</f>
        <v>15.840000000000002</v>
      </c>
      <c r="V8" s="55">
        <f>V6*V7</f>
        <v>31.72</v>
      </c>
      <c r="W8" s="55">
        <f>W6*W7</f>
        <v>15.540000000000001</v>
      </c>
    </row>
  </sheetData>
  <mergeCells count="4">
    <mergeCell ref="E5:H5"/>
    <mergeCell ref="I5:M5"/>
    <mergeCell ref="N5:R5"/>
    <mergeCell ref="S5:W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111"/>
  <sheetViews>
    <sheetView workbookViewId="0"/>
  </sheetViews>
  <sheetFormatPr defaultRowHeight="15"/>
  <cols>
    <col min="1" max="1" width="15.7109375" customWidth="1"/>
  </cols>
  <sheetData>
    <row r="1" spans="1:73">
      <c r="A1" t="s">
        <v>398</v>
      </c>
    </row>
    <row r="2" spans="1:73">
      <c r="A2" t="s">
        <v>69</v>
      </c>
    </row>
    <row r="3" spans="1:73">
      <c r="A3" s="4" t="s">
        <v>9</v>
      </c>
      <c r="T3" s="4" t="s">
        <v>52</v>
      </c>
      <c r="AK3" s="4" t="s">
        <v>57</v>
      </c>
      <c r="BD3" s="4" t="s">
        <v>5</v>
      </c>
    </row>
    <row r="4" spans="1:73">
      <c r="A4" s="1" t="s">
        <v>26</v>
      </c>
      <c r="B4" s="1" t="s">
        <v>27</v>
      </c>
      <c r="C4" s="1" t="s">
        <v>28</v>
      </c>
      <c r="D4" s="1" t="s">
        <v>29</v>
      </c>
      <c r="E4" s="1" t="s">
        <v>30</v>
      </c>
      <c r="F4" s="1" t="s">
        <v>31</v>
      </c>
      <c r="G4" s="1" t="s">
        <v>32</v>
      </c>
      <c r="H4" s="1" t="s">
        <v>33</v>
      </c>
      <c r="I4" s="1" t="s">
        <v>34</v>
      </c>
      <c r="J4" s="1" t="s">
        <v>35</v>
      </c>
      <c r="K4" s="1" t="s">
        <v>36</v>
      </c>
      <c r="L4" s="1" t="s">
        <v>37</v>
      </c>
      <c r="M4" s="1" t="s">
        <v>38</v>
      </c>
      <c r="N4" s="1" t="s">
        <v>39</v>
      </c>
      <c r="O4" s="1" t="s">
        <v>40</v>
      </c>
      <c r="P4" s="1" t="s">
        <v>41</v>
      </c>
      <c r="Q4" s="1" t="s">
        <v>42</v>
      </c>
      <c r="R4" s="1" t="s">
        <v>43</v>
      </c>
      <c r="T4" s="1" t="s">
        <v>12</v>
      </c>
      <c r="U4" s="1" t="s">
        <v>13</v>
      </c>
      <c r="V4" s="1" t="s">
        <v>14</v>
      </c>
      <c r="W4" s="1" t="s">
        <v>15</v>
      </c>
      <c r="X4" s="1" t="s">
        <v>46</v>
      </c>
      <c r="Y4" s="1" t="s">
        <v>47</v>
      </c>
      <c r="Z4" s="1" t="s">
        <v>17</v>
      </c>
      <c r="AA4" s="1" t="s">
        <v>48</v>
      </c>
      <c r="AB4" s="1" t="s">
        <v>18</v>
      </c>
      <c r="AC4" s="1" t="s">
        <v>19</v>
      </c>
      <c r="AD4" s="1" t="s">
        <v>20</v>
      </c>
      <c r="AE4" s="1" t="s">
        <v>21</v>
      </c>
      <c r="AF4" s="1" t="s">
        <v>49</v>
      </c>
      <c r="AG4" s="1" t="s">
        <v>50</v>
      </c>
      <c r="AH4" s="1" t="s">
        <v>22</v>
      </c>
      <c r="AI4" s="1" t="s">
        <v>23</v>
      </c>
      <c r="AK4" s="6" t="s">
        <v>10</v>
      </c>
      <c r="AL4" s="6" t="s">
        <v>11</v>
      </c>
      <c r="AM4" s="6" t="s">
        <v>12</v>
      </c>
      <c r="AN4" s="6" t="s">
        <v>53</v>
      </c>
      <c r="AO4" s="6" t="s">
        <v>14</v>
      </c>
      <c r="AP4" s="6" t="s">
        <v>15</v>
      </c>
      <c r="AQ4" s="6" t="s">
        <v>16</v>
      </c>
      <c r="AR4" s="6" t="s">
        <v>47</v>
      </c>
      <c r="AS4" s="6" t="s">
        <v>54</v>
      </c>
      <c r="AT4" s="6" t="s">
        <v>48</v>
      </c>
      <c r="AU4" s="6" t="s">
        <v>18</v>
      </c>
      <c r="AV4" s="6" t="s">
        <v>19</v>
      </c>
      <c r="AW4" s="6" t="s">
        <v>20</v>
      </c>
      <c r="AX4" s="6" t="s">
        <v>55</v>
      </c>
      <c r="AY4" s="6" t="s">
        <v>56</v>
      </c>
      <c r="AZ4" s="6" t="s">
        <v>50</v>
      </c>
      <c r="BA4" s="6" t="s">
        <v>24</v>
      </c>
      <c r="BB4" s="6" t="s">
        <v>25</v>
      </c>
      <c r="BD4" s="10" t="s">
        <v>10</v>
      </c>
      <c r="BE4" s="10" t="s">
        <v>11</v>
      </c>
      <c r="BF4" s="10" t="s">
        <v>12</v>
      </c>
      <c r="BG4" s="10" t="s">
        <v>13</v>
      </c>
      <c r="BH4" s="10" t="s">
        <v>58</v>
      </c>
      <c r="BI4" s="10" t="s">
        <v>15</v>
      </c>
      <c r="BJ4" s="10" t="s">
        <v>16</v>
      </c>
      <c r="BK4" s="10" t="s">
        <v>59</v>
      </c>
      <c r="BL4" s="10" t="s">
        <v>17</v>
      </c>
      <c r="BM4" s="10" t="s">
        <v>48</v>
      </c>
      <c r="BN4" s="10" t="s">
        <v>18</v>
      </c>
      <c r="BO4" s="10" t="s">
        <v>19</v>
      </c>
      <c r="BP4" s="10" t="s">
        <v>20</v>
      </c>
      <c r="BQ4" s="10" t="s">
        <v>21</v>
      </c>
      <c r="BR4" s="10" t="s">
        <v>56</v>
      </c>
      <c r="BS4" s="10" t="s">
        <v>50</v>
      </c>
      <c r="BT4" s="10" t="s">
        <v>60</v>
      </c>
      <c r="BU4" s="10" t="s">
        <v>25</v>
      </c>
    </row>
    <row r="5" spans="1:73">
      <c r="A5" s="2">
        <v>42254</v>
      </c>
      <c r="B5" s="3">
        <v>16.21</v>
      </c>
      <c r="C5" s="3">
        <v>16.329999999999998</v>
      </c>
      <c r="D5" s="3">
        <v>15.56</v>
      </c>
      <c r="E5" s="3">
        <v>16.329999999999998</v>
      </c>
      <c r="F5" s="3">
        <v>15.45</v>
      </c>
      <c r="G5" s="3">
        <v>16.78</v>
      </c>
      <c r="H5" s="3">
        <v>15.25</v>
      </c>
      <c r="I5" s="3">
        <v>16.38</v>
      </c>
      <c r="J5" s="3">
        <v>15.14</v>
      </c>
      <c r="K5" s="3">
        <v>16.39</v>
      </c>
      <c r="L5" s="3">
        <v>15.26</v>
      </c>
      <c r="M5" s="3">
        <v>16.579999999999998</v>
      </c>
      <c r="N5" s="3">
        <v>16.84</v>
      </c>
      <c r="O5" s="3">
        <v>16.11</v>
      </c>
      <c r="P5" s="3">
        <v>15.81</v>
      </c>
      <c r="Q5" s="3">
        <v>16.027999999999999</v>
      </c>
      <c r="R5" s="3">
        <v>0.57265297394794723</v>
      </c>
      <c r="T5" s="3">
        <v>17.28</v>
      </c>
      <c r="U5" s="3">
        <v>15.29</v>
      </c>
      <c r="V5" s="3">
        <v>16.510000000000002</v>
      </c>
      <c r="W5" s="3">
        <v>16.489999999999998</v>
      </c>
      <c r="X5" s="3">
        <v>15.12</v>
      </c>
      <c r="Y5" s="3">
        <v>15.48</v>
      </c>
      <c r="Z5" s="3">
        <v>15.33</v>
      </c>
      <c r="AA5" s="3">
        <v>15.29</v>
      </c>
      <c r="AB5" s="3">
        <v>15.41</v>
      </c>
      <c r="AC5" s="3">
        <v>17.22</v>
      </c>
      <c r="AD5" s="3">
        <v>15.39</v>
      </c>
      <c r="AE5" s="3">
        <v>15.48</v>
      </c>
      <c r="AF5" s="3">
        <v>17.55</v>
      </c>
      <c r="AG5" s="3">
        <v>16.350000000000001</v>
      </c>
      <c r="AH5" s="3">
        <f>AVERAGE(S5:AG5)</f>
        <v>16.013571428571428</v>
      </c>
      <c r="AI5" s="3">
        <f>STDEV(S5:AG5)</f>
        <v>0.86121208986884545</v>
      </c>
      <c r="AK5" s="7">
        <v>42254</v>
      </c>
      <c r="AL5" s="8">
        <v>16.21</v>
      </c>
      <c r="AM5" s="8">
        <v>17.329999999999998</v>
      </c>
      <c r="AN5" s="8">
        <v>17.559999999999999</v>
      </c>
      <c r="AO5" s="8">
        <v>16.329999999999998</v>
      </c>
      <c r="AP5" s="8">
        <v>15.22</v>
      </c>
      <c r="AQ5" s="8">
        <v>16.54</v>
      </c>
      <c r="AR5" s="8">
        <v>16.73</v>
      </c>
      <c r="AS5" s="8">
        <v>17.12</v>
      </c>
      <c r="AT5" s="8">
        <v>17.010000000000002</v>
      </c>
      <c r="AU5" s="8">
        <v>16.73</v>
      </c>
      <c r="AV5" s="8">
        <v>15.84</v>
      </c>
      <c r="AW5" s="8">
        <v>16.09</v>
      </c>
      <c r="AX5" s="8">
        <v>16.02</v>
      </c>
      <c r="AY5" s="8">
        <v>16.05</v>
      </c>
      <c r="AZ5" s="8">
        <v>15.14</v>
      </c>
      <c r="BA5" s="8">
        <f>AVERAGE(AL5:AZ5)</f>
        <v>16.394666666666669</v>
      </c>
      <c r="BB5" s="8">
        <f>STDEV(AL5:AZ5)</f>
        <v>0.70890122893175467</v>
      </c>
      <c r="BD5" s="11">
        <v>42254</v>
      </c>
      <c r="BE5" s="12">
        <v>16.21</v>
      </c>
      <c r="BF5" s="12">
        <v>17.329999999999998</v>
      </c>
      <c r="BG5" s="12">
        <v>17.559999999999999</v>
      </c>
      <c r="BH5" s="12">
        <v>16.329999999999998</v>
      </c>
      <c r="BI5" s="12">
        <v>15.22</v>
      </c>
      <c r="BJ5" s="12">
        <v>16.54</v>
      </c>
      <c r="BK5" s="12">
        <v>16.73</v>
      </c>
      <c r="BL5" s="12">
        <v>17.02</v>
      </c>
      <c r="BM5" s="12">
        <v>17.329999999999998</v>
      </c>
      <c r="BN5" s="12">
        <v>16.48</v>
      </c>
      <c r="BO5" s="12">
        <v>16.34</v>
      </c>
      <c r="BP5" s="12">
        <v>16.190000000000001</v>
      </c>
      <c r="BQ5" s="12">
        <v>16.32</v>
      </c>
      <c r="BR5" s="12">
        <v>16.34</v>
      </c>
      <c r="BS5" s="12">
        <v>15.34</v>
      </c>
      <c r="BT5" s="13">
        <f>AVERAGE(BE5:BS5)</f>
        <v>16.485333333333333</v>
      </c>
      <c r="BU5" s="13">
        <f>STDEV(BE5:BS5)</f>
        <v>0.66009595262103071</v>
      </c>
    </row>
    <row r="6" spans="1:73">
      <c r="A6" s="2">
        <v>42261</v>
      </c>
      <c r="B6" s="3">
        <v>17.32</v>
      </c>
      <c r="C6" s="3">
        <v>17.29</v>
      </c>
      <c r="D6" s="3">
        <v>17.36</v>
      </c>
      <c r="E6" s="3">
        <v>17.32</v>
      </c>
      <c r="F6" s="3">
        <v>16.21</v>
      </c>
      <c r="G6" s="3">
        <v>17.329999999999998</v>
      </c>
      <c r="H6" s="3">
        <v>18.93</v>
      </c>
      <c r="I6" s="3">
        <v>17.29</v>
      </c>
      <c r="J6" s="3">
        <v>17.649999999999999</v>
      </c>
      <c r="K6" s="3">
        <v>17.32</v>
      </c>
      <c r="L6" s="3">
        <v>17.77</v>
      </c>
      <c r="M6" s="3">
        <v>17.25</v>
      </c>
      <c r="N6" s="3">
        <v>17.920000000000002</v>
      </c>
      <c r="O6" s="3">
        <v>18.829999999999998</v>
      </c>
      <c r="P6" s="3">
        <v>17.239999999999998</v>
      </c>
      <c r="Q6" s="3">
        <v>17.53533333333333</v>
      </c>
      <c r="R6" s="3">
        <v>0.65981454825976504</v>
      </c>
      <c r="T6" s="3">
        <v>16.690000000000001</v>
      </c>
      <c r="U6" s="3">
        <v>16.239999999999998</v>
      </c>
      <c r="V6" s="3">
        <v>17.38</v>
      </c>
      <c r="W6" s="3">
        <v>17.34</v>
      </c>
      <c r="X6" s="3">
        <v>17.48</v>
      </c>
      <c r="Y6" s="3">
        <v>17.61</v>
      </c>
      <c r="Z6" s="3">
        <v>16.21</v>
      </c>
      <c r="AA6" s="3">
        <v>16.39</v>
      </c>
      <c r="AB6" s="3">
        <v>17.37</v>
      </c>
      <c r="AC6" s="3">
        <v>17.93</v>
      </c>
      <c r="AD6" s="3">
        <v>16.48</v>
      </c>
      <c r="AE6" s="3">
        <v>17.440000000000001</v>
      </c>
      <c r="AF6" s="3">
        <v>17.489999999999998</v>
      </c>
      <c r="AG6" s="3">
        <v>16.29</v>
      </c>
      <c r="AH6" s="3">
        <f t="shared" ref="AH6:AH57" si="0">AVERAGE(S6:AG6)</f>
        <v>17.024285714285718</v>
      </c>
      <c r="AI6" s="3">
        <f t="shared" ref="AI6:AI57" si="1">STDEV(S6:AG6)</f>
        <v>0.60346071551082359</v>
      </c>
      <c r="AK6" s="7">
        <v>42261</v>
      </c>
      <c r="AL6" s="8">
        <v>17.32</v>
      </c>
      <c r="AM6" s="8">
        <v>18.23</v>
      </c>
      <c r="AN6" s="8">
        <v>18.36</v>
      </c>
      <c r="AO6" s="8">
        <v>17.559999999999999</v>
      </c>
      <c r="AP6" s="8">
        <v>16.809999999999999</v>
      </c>
      <c r="AQ6" s="8">
        <v>17.21</v>
      </c>
      <c r="AR6" s="8">
        <v>17.010000000000002</v>
      </c>
      <c r="AS6" s="8">
        <v>18.21</v>
      </c>
      <c r="AT6" s="8">
        <v>17.54</v>
      </c>
      <c r="AU6" s="8">
        <v>16.809999999999999</v>
      </c>
      <c r="AV6" s="8">
        <v>18.34</v>
      </c>
      <c r="AW6" s="8">
        <v>17.850000000000001</v>
      </c>
      <c r="AX6" s="8">
        <v>17.32</v>
      </c>
      <c r="AY6" s="8">
        <v>17.34</v>
      </c>
      <c r="AZ6" s="8">
        <v>15.93</v>
      </c>
      <c r="BA6" s="8">
        <f t="shared" ref="BA6:BA57" si="2">AVERAGE(AL6:AZ6)</f>
        <v>17.456</v>
      </c>
      <c r="BB6" s="8">
        <f t="shared" ref="BB6:BB57" si="3">STDEV(AL6:AZ6)</f>
        <v>0.67678652468854616</v>
      </c>
      <c r="BD6" s="11">
        <v>42261</v>
      </c>
      <c r="BE6" s="12">
        <v>17.32</v>
      </c>
      <c r="BF6" s="12">
        <v>18.23</v>
      </c>
      <c r="BG6" s="12">
        <v>18.36</v>
      </c>
      <c r="BH6" s="12">
        <v>17.559999999999999</v>
      </c>
      <c r="BI6" s="12">
        <v>16.809999999999999</v>
      </c>
      <c r="BJ6" s="12">
        <v>19.21</v>
      </c>
      <c r="BK6" s="12">
        <v>17.23</v>
      </c>
      <c r="BL6" s="12">
        <v>18.829999999999998</v>
      </c>
      <c r="BM6" s="12">
        <v>18.12</v>
      </c>
      <c r="BN6" s="12">
        <v>17.66</v>
      </c>
      <c r="BO6" s="12">
        <v>17.02</v>
      </c>
      <c r="BP6" s="12">
        <v>17.23</v>
      </c>
      <c r="BQ6" s="12">
        <v>17.88</v>
      </c>
      <c r="BR6" s="12">
        <v>17.22</v>
      </c>
      <c r="BS6" s="12">
        <v>16.11</v>
      </c>
      <c r="BT6" s="13">
        <f t="shared" ref="BT6:BT57" si="4">AVERAGE(BE6:BS6)</f>
        <v>17.652666666666669</v>
      </c>
      <c r="BU6" s="13">
        <f t="shared" ref="BU6:BU57" si="5">STDEV(BE6:BS6)</f>
        <v>0.80485550315095766</v>
      </c>
    </row>
    <row r="7" spans="1:73">
      <c r="A7" s="2">
        <v>42268</v>
      </c>
      <c r="B7" s="3">
        <v>19.190000000000001</v>
      </c>
      <c r="C7" s="3">
        <v>19.84</v>
      </c>
      <c r="D7" s="3">
        <v>18.510000000000002</v>
      </c>
      <c r="E7" s="3">
        <v>18.260000000000002</v>
      </c>
      <c r="F7" s="3">
        <v>18.43</v>
      </c>
      <c r="G7" s="3">
        <v>18.84</v>
      </c>
      <c r="H7" s="3">
        <v>19.55</v>
      </c>
      <c r="I7" s="3">
        <v>20.11</v>
      </c>
      <c r="J7" s="3">
        <v>20.32</v>
      </c>
      <c r="K7" s="3">
        <v>19.260000000000002</v>
      </c>
      <c r="L7" s="3">
        <v>19.649999999999999</v>
      </c>
      <c r="M7" s="3">
        <v>20.74</v>
      </c>
      <c r="N7" s="3">
        <v>20.65</v>
      </c>
      <c r="O7" s="3">
        <v>18.12</v>
      </c>
      <c r="P7" s="3">
        <v>19.670000000000002</v>
      </c>
      <c r="Q7" s="3">
        <v>19.409333333333336</v>
      </c>
      <c r="R7" s="3">
        <v>0.84966772216863506</v>
      </c>
      <c r="T7" s="3">
        <v>18.25</v>
      </c>
      <c r="U7" s="3">
        <v>18.46</v>
      </c>
      <c r="V7" s="3">
        <v>17.45</v>
      </c>
      <c r="W7" s="3">
        <v>19.62</v>
      </c>
      <c r="X7" s="3">
        <v>17.73</v>
      </c>
      <c r="Y7" s="3">
        <v>18.21</v>
      </c>
      <c r="Z7" s="3">
        <v>19.53</v>
      </c>
      <c r="AA7" s="3">
        <v>20.309999999999999</v>
      </c>
      <c r="AB7" s="3">
        <v>19.39</v>
      </c>
      <c r="AC7" s="3">
        <v>19.579999999999998</v>
      </c>
      <c r="AD7" s="3">
        <v>19.93</v>
      </c>
      <c r="AE7" s="3">
        <v>18.48</v>
      </c>
      <c r="AF7" s="3">
        <v>18.52</v>
      </c>
      <c r="AG7" s="3">
        <v>18.579999999999998</v>
      </c>
      <c r="AH7" s="3">
        <f t="shared" si="0"/>
        <v>18.859999999999996</v>
      </c>
      <c r="AI7" s="3">
        <f t="shared" si="1"/>
        <v>0.86073314009717217</v>
      </c>
      <c r="AK7" s="7">
        <v>42268</v>
      </c>
      <c r="AL7" s="8">
        <v>18.190000000000001</v>
      </c>
      <c r="AM7" s="8">
        <v>20.83</v>
      </c>
      <c r="AN7" s="8">
        <v>19.510000000000002</v>
      </c>
      <c r="AO7" s="8">
        <v>19.16</v>
      </c>
      <c r="AP7" s="8">
        <v>18.05</v>
      </c>
      <c r="AQ7" s="8">
        <v>19.149999999999999</v>
      </c>
      <c r="AR7" s="8">
        <v>19.14</v>
      </c>
      <c r="AS7" s="8">
        <v>19.100000000000001</v>
      </c>
      <c r="AT7" s="8">
        <v>20.03</v>
      </c>
      <c r="AU7" s="8">
        <v>18.649999999999999</v>
      </c>
      <c r="AV7" s="8">
        <v>19.04</v>
      </c>
      <c r="AW7" s="8">
        <v>20.010000000000002</v>
      </c>
      <c r="AX7" s="8">
        <v>20.03</v>
      </c>
      <c r="AY7" s="8">
        <v>20.14</v>
      </c>
      <c r="AZ7" s="8">
        <v>19.010000000000002</v>
      </c>
      <c r="BA7" s="8">
        <f t="shared" si="2"/>
        <v>19.335999999999999</v>
      </c>
      <c r="BB7" s="8">
        <f t="shared" si="3"/>
        <v>0.76146287781198763</v>
      </c>
      <c r="BD7" s="11">
        <v>42268</v>
      </c>
      <c r="BE7" s="12">
        <v>18.190000000000001</v>
      </c>
      <c r="BF7" s="12">
        <v>20.83</v>
      </c>
      <c r="BG7" s="12">
        <v>19.510000000000002</v>
      </c>
      <c r="BH7" s="12">
        <v>19.760000000000002</v>
      </c>
      <c r="BI7" s="12">
        <v>17.649999999999999</v>
      </c>
      <c r="BJ7" s="12">
        <v>22.15</v>
      </c>
      <c r="BK7" s="12">
        <v>19.93</v>
      </c>
      <c r="BL7" s="12">
        <v>19.850000000000001</v>
      </c>
      <c r="BM7" s="12">
        <v>21.45</v>
      </c>
      <c r="BN7" s="12">
        <v>18.43</v>
      </c>
      <c r="BO7" s="12">
        <v>21.21</v>
      </c>
      <c r="BP7" s="12">
        <v>19.829999999999998</v>
      </c>
      <c r="BQ7" s="12">
        <v>19.21</v>
      </c>
      <c r="BR7" s="12">
        <v>18.27</v>
      </c>
      <c r="BS7" s="12">
        <v>17.11</v>
      </c>
      <c r="BT7" s="13">
        <f t="shared" si="4"/>
        <v>19.558666666666667</v>
      </c>
      <c r="BU7" s="13">
        <f t="shared" si="5"/>
        <v>1.4526570073325569</v>
      </c>
    </row>
    <row r="8" spans="1:73">
      <c r="A8" s="2">
        <v>42275</v>
      </c>
      <c r="B8" s="3">
        <v>20.11</v>
      </c>
      <c r="C8" s="3">
        <v>20.54</v>
      </c>
      <c r="D8" s="3">
        <v>19.45</v>
      </c>
      <c r="E8" s="3">
        <v>20.59</v>
      </c>
      <c r="F8" s="3">
        <v>19.59</v>
      </c>
      <c r="G8" s="3">
        <v>20.54</v>
      </c>
      <c r="H8" s="3">
        <v>21.26</v>
      </c>
      <c r="I8" s="3">
        <v>22.43</v>
      </c>
      <c r="J8" s="3">
        <v>21.23</v>
      </c>
      <c r="K8" s="3">
        <v>21.56</v>
      </c>
      <c r="L8" s="3">
        <v>21.84</v>
      </c>
      <c r="M8" s="3">
        <v>21.12</v>
      </c>
      <c r="N8" s="3">
        <v>20.84</v>
      </c>
      <c r="O8" s="3">
        <v>22.24</v>
      </c>
      <c r="P8" s="3">
        <v>20.32</v>
      </c>
      <c r="Q8" s="3">
        <v>20.910666666666664</v>
      </c>
      <c r="R8" s="3">
        <v>0.88151222879992397</v>
      </c>
      <c r="T8" s="3">
        <v>20.46</v>
      </c>
      <c r="U8" s="3">
        <v>20.85</v>
      </c>
      <c r="V8" s="3">
        <v>20.21</v>
      </c>
      <c r="W8" s="3">
        <v>20.69</v>
      </c>
      <c r="X8" s="3">
        <v>20.59</v>
      </c>
      <c r="Y8" s="3">
        <v>20.52</v>
      </c>
      <c r="Z8" s="3">
        <v>21.25</v>
      </c>
      <c r="AA8" s="3">
        <v>20.63</v>
      </c>
      <c r="AB8" s="3">
        <v>20.420000000000002</v>
      </c>
      <c r="AC8" s="3">
        <v>21.39</v>
      </c>
      <c r="AD8" s="3">
        <v>22.39</v>
      </c>
      <c r="AE8" s="3">
        <v>20.149999999999999</v>
      </c>
      <c r="AF8" s="3">
        <v>21.92</v>
      </c>
      <c r="AG8" s="3">
        <v>20.49</v>
      </c>
      <c r="AH8" s="3">
        <f t="shared" si="0"/>
        <v>20.854285714285712</v>
      </c>
      <c r="AI8" s="3">
        <f t="shared" si="1"/>
        <v>0.65542369485716667</v>
      </c>
      <c r="AK8" s="7">
        <v>42275</v>
      </c>
      <c r="AL8" s="8">
        <v>19.11</v>
      </c>
      <c r="AM8" s="8">
        <v>21.23</v>
      </c>
      <c r="AN8" s="8">
        <v>20.25</v>
      </c>
      <c r="AO8" s="8">
        <v>22.12</v>
      </c>
      <c r="AP8" s="8">
        <v>19.11</v>
      </c>
      <c r="AQ8" s="8">
        <v>21.63</v>
      </c>
      <c r="AR8" s="8">
        <v>21.11</v>
      </c>
      <c r="AS8" s="8">
        <v>21.03</v>
      </c>
      <c r="AT8" s="8">
        <v>21.76</v>
      </c>
      <c r="AU8" s="8">
        <v>22.63</v>
      </c>
      <c r="AV8" s="8">
        <v>22.11</v>
      </c>
      <c r="AW8" s="8">
        <v>21.88</v>
      </c>
      <c r="AX8" s="8">
        <v>21.16</v>
      </c>
      <c r="AY8" s="8">
        <v>21.04</v>
      </c>
      <c r="AZ8" s="8">
        <v>19.21</v>
      </c>
      <c r="BA8" s="8">
        <f t="shared" si="2"/>
        <v>21.025333333333332</v>
      </c>
      <c r="BB8" s="8">
        <f t="shared" si="3"/>
        <v>1.1303151688588366</v>
      </c>
      <c r="BD8" s="11">
        <v>42275</v>
      </c>
      <c r="BE8" s="12">
        <v>19.11</v>
      </c>
      <c r="BF8" s="12">
        <v>22.23</v>
      </c>
      <c r="BG8" s="12">
        <v>20.25</v>
      </c>
      <c r="BH8" s="12">
        <v>22.12</v>
      </c>
      <c r="BI8" s="12">
        <v>19.11</v>
      </c>
      <c r="BJ8" s="12">
        <v>23.63</v>
      </c>
      <c r="BK8" s="12">
        <v>21.11</v>
      </c>
      <c r="BL8" s="12">
        <v>21.42</v>
      </c>
      <c r="BM8" s="12">
        <v>22.13</v>
      </c>
      <c r="BN8" s="12">
        <v>20.14</v>
      </c>
      <c r="BO8" s="12">
        <v>23.22</v>
      </c>
      <c r="BP8" s="12">
        <v>22.54</v>
      </c>
      <c r="BQ8" s="12">
        <v>21.54</v>
      </c>
      <c r="BR8" s="12">
        <v>21.32</v>
      </c>
      <c r="BS8" s="12">
        <v>19.54</v>
      </c>
      <c r="BT8" s="13">
        <f t="shared" si="4"/>
        <v>21.294</v>
      </c>
      <c r="BU8" s="13">
        <f t="shared" si="5"/>
        <v>1.4173657658789822</v>
      </c>
    </row>
    <row r="9" spans="1:73">
      <c r="A9" s="2">
        <v>42282</v>
      </c>
      <c r="B9" s="3">
        <v>23.96</v>
      </c>
      <c r="C9" s="3">
        <v>21.64</v>
      </c>
      <c r="D9" s="3">
        <v>23.83</v>
      </c>
      <c r="E9" s="3">
        <v>22.23</v>
      </c>
      <c r="F9" s="3">
        <v>24.12</v>
      </c>
      <c r="G9" s="3">
        <v>22.65</v>
      </c>
      <c r="H9" s="3">
        <v>24.11</v>
      </c>
      <c r="I9" s="3">
        <v>25.21</v>
      </c>
      <c r="J9" s="3">
        <v>23.56</v>
      </c>
      <c r="K9" s="3">
        <v>26.23</v>
      </c>
      <c r="L9" s="3">
        <v>23.24</v>
      </c>
      <c r="M9" s="3">
        <v>24.96</v>
      </c>
      <c r="N9" s="3">
        <v>22.02</v>
      </c>
      <c r="O9" s="3">
        <v>22.12</v>
      </c>
      <c r="P9" s="3">
        <v>23.43</v>
      </c>
      <c r="Q9" s="3">
        <v>23.553999999999998</v>
      </c>
      <c r="R9" s="3">
        <v>1.295810832755196</v>
      </c>
      <c r="T9" s="3">
        <v>24.33</v>
      </c>
      <c r="U9" s="3">
        <v>22.41</v>
      </c>
      <c r="V9" s="3">
        <v>21.51</v>
      </c>
      <c r="W9" s="3">
        <v>23.02</v>
      </c>
      <c r="X9" s="3">
        <v>24.32</v>
      </c>
      <c r="Y9" s="3">
        <v>23.25</v>
      </c>
      <c r="Z9" s="3">
        <v>24.84</v>
      </c>
      <c r="AA9" s="3">
        <v>24.38</v>
      </c>
      <c r="AB9" s="3">
        <v>23.32</v>
      </c>
      <c r="AC9" s="3">
        <v>24.16</v>
      </c>
      <c r="AD9" s="3">
        <v>23.41</v>
      </c>
      <c r="AE9" s="3">
        <v>23.39</v>
      </c>
      <c r="AF9" s="3">
        <v>23.25</v>
      </c>
      <c r="AG9" s="3">
        <v>22.11</v>
      </c>
      <c r="AH9" s="3">
        <f t="shared" si="0"/>
        <v>23.407142857142855</v>
      </c>
      <c r="AI9" s="3">
        <f t="shared" si="1"/>
        <v>0.95008038988958532</v>
      </c>
      <c r="AK9" s="7">
        <v>42282</v>
      </c>
      <c r="AL9" s="8">
        <v>22.96</v>
      </c>
      <c r="AM9" s="8">
        <v>23.64</v>
      </c>
      <c r="AN9" s="8">
        <v>22.83</v>
      </c>
      <c r="AO9" s="8">
        <v>23.93</v>
      </c>
      <c r="AP9" s="8">
        <v>21.51</v>
      </c>
      <c r="AQ9" s="8">
        <v>24.75</v>
      </c>
      <c r="AR9" s="8">
        <v>23.03</v>
      </c>
      <c r="AS9" s="8">
        <v>24.18</v>
      </c>
      <c r="AT9" s="8">
        <v>23.96</v>
      </c>
      <c r="AU9" s="8">
        <v>24.02</v>
      </c>
      <c r="AV9" s="8">
        <v>24.21</v>
      </c>
      <c r="AW9" s="8">
        <v>25.19</v>
      </c>
      <c r="AX9" s="8">
        <v>23.34</v>
      </c>
      <c r="AY9" s="8">
        <v>24.06</v>
      </c>
      <c r="AZ9" s="8">
        <v>22.06</v>
      </c>
      <c r="BA9" s="8">
        <f t="shared" si="2"/>
        <v>23.577999999999999</v>
      </c>
      <c r="BB9" s="8">
        <f t="shared" si="3"/>
        <v>0.9752157270500279</v>
      </c>
      <c r="BD9" s="11">
        <v>42282</v>
      </c>
      <c r="BE9" s="12">
        <v>22.96</v>
      </c>
      <c r="BF9" s="12">
        <v>24.64</v>
      </c>
      <c r="BG9" s="12">
        <v>22.83</v>
      </c>
      <c r="BH9" s="12">
        <v>23.93</v>
      </c>
      <c r="BI9" s="12">
        <v>21.51</v>
      </c>
      <c r="BJ9" s="12">
        <v>24.75</v>
      </c>
      <c r="BK9" s="12">
        <v>23.93</v>
      </c>
      <c r="BL9" s="12">
        <v>24.74</v>
      </c>
      <c r="BM9" s="12">
        <v>24.95</v>
      </c>
      <c r="BN9" s="12">
        <v>21.54</v>
      </c>
      <c r="BO9" s="12">
        <v>26.65</v>
      </c>
      <c r="BP9" s="12">
        <v>25.23</v>
      </c>
      <c r="BQ9" s="12">
        <v>23.76</v>
      </c>
      <c r="BR9" s="12">
        <v>24.64</v>
      </c>
      <c r="BS9" s="12">
        <v>22.84</v>
      </c>
      <c r="BT9" s="13">
        <f t="shared" si="4"/>
        <v>23.926666666666666</v>
      </c>
      <c r="BU9" s="13">
        <f t="shared" si="5"/>
        <v>1.399023468947775</v>
      </c>
    </row>
    <row r="10" spans="1:73">
      <c r="A10" s="2">
        <v>42289</v>
      </c>
      <c r="B10" s="3">
        <v>26.44</v>
      </c>
      <c r="C10" s="3">
        <v>24.92</v>
      </c>
      <c r="D10" s="3">
        <v>27.36</v>
      </c>
      <c r="E10" s="3">
        <v>26.85</v>
      </c>
      <c r="F10" s="3">
        <v>23.42</v>
      </c>
      <c r="G10" s="3">
        <v>23.76</v>
      </c>
      <c r="H10" s="3">
        <v>22.43</v>
      </c>
      <c r="I10" s="3">
        <v>27.85</v>
      </c>
      <c r="J10" s="3">
        <v>25.65</v>
      </c>
      <c r="K10" s="3">
        <v>24.94</v>
      </c>
      <c r="L10" s="3">
        <v>23.97</v>
      </c>
      <c r="M10" s="3">
        <v>24.26</v>
      </c>
      <c r="N10" s="3">
        <v>22.76</v>
      </c>
      <c r="O10" s="3">
        <v>23.43</v>
      </c>
      <c r="P10" s="3">
        <v>24.29</v>
      </c>
      <c r="Q10" s="3">
        <v>24.822000000000003</v>
      </c>
      <c r="R10" s="3">
        <v>1.6771455341910977</v>
      </c>
      <c r="T10" s="3">
        <v>25.25</v>
      </c>
      <c r="U10" s="3">
        <v>23.11</v>
      </c>
      <c r="V10" s="3">
        <v>23.39</v>
      </c>
      <c r="W10" s="3">
        <v>25.43</v>
      </c>
      <c r="X10" s="3">
        <v>26.15</v>
      </c>
      <c r="Y10" s="3">
        <v>25.38</v>
      </c>
      <c r="Z10" s="3">
        <v>25.48</v>
      </c>
      <c r="AA10" s="3">
        <v>26.49</v>
      </c>
      <c r="AB10" s="3">
        <v>25.29</v>
      </c>
      <c r="AC10" s="3">
        <v>25.33</v>
      </c>
      <c r="AD10" s="3">
        <v>25.58</v>
      </c>
      <c r="AE10" s="3">
        <v>26.84</v>
      </c>
      <c r="AF10" s="3">
        <v>25.24</v>
      </c>
      <c r="AG10" s="3">
        <v>23.53</v>
      </c>
      <c r="AH10" s="3">
        <f t="shared" si="0"/>
        <v>25.177857142857142</v>
      </c>
      <c r="AI10" s="3">
        <f t="shared" si="1"/>
        <v>1.1100809296306595</v>
      </c>
      <c r="AK10" s="7">
        <v>42289</v>
      </c>
      <c r="AL10" s="8">
        <v>25.44</v>
      </c>
      <c r="AM10" s="8">
        <v>25.92</v>
      </c>
      <c r="AN10" s="8">
        <v>23.36</v>
      </c>
      <c r="AO10" s="8">
        <v>25.65</v>
      </c>
      <c r="AP10" s="8">
        <v>23.82</v>
      </c>
      <c r="AQ10" s="8">
        <v>27.93</v>
      </c>
      <c r="AR10" s="8">
        <v>25.73</v>
      </c>
      <c r="AS10" s="8">
        <v>25.02</v>
      </c>
      <c r="AT10" s="8">
        <v>26.33</v>
      </c>
      <c r="AU10" s="8">
        <v>25.02</v>
      </c>
      <c r="AV10" s="8">
        <v>28.34</v>
      </c>
      <c r="AW10" s="8">
        <v>27.29</v>
      </c>
      <c r="AX10" s="8">
        <v>24.22</v>
      </c>
      <c r="AY10" s="8">
        <v>25.22</v>
      </c>
      <c r="AZ10" s="8">
        <v>23.12</v>
      </c>
      <c r="BA10" s="8">
        <f t="shared" si="2"/>
        <v>25.494000000000007</v>
      </c>
      <c r="BB10" s="8">
        <f t="shared" si="3"/>
        <v>1.5437051902114323</v>
      </c>
      <c r="BD10" s="11">
        <v>42289</v>
      </c>
      <c r="BE10" s="12">
        <v>25.44</v>
      </c>
      <c r="BF10" s="12">
        <v>25.92</v>
      </c>
      <c r="BG10" s="12">
        <v>23.36</v>
      </c>
      <c r="BH10" s="12">
        <v>25.65</v>
      </c>
      <c r="BI10" s="12">
        <v>24.82</v>
      </c>
      <c r="BJ10" s="12">
        <v>27.93</v>
      </c>
      <c r="BK10" s="12">
        <v>25.44</v>
      </c>
      <c r="BL10" s="12">
        <v>25.32</v>
      </c>
      <c r="BM10" s="12">
        <v>26.74</v>
      </c>
      <c r="BN10" s="12">
        <v>23.143000000000001</v>
      </c>
      <c r="BO10" s="12">
        <v>28.34</v>
      </c>
      <c r="BP10" s="12">
        <v>27.19</v>
      </c>
      <c r="BQ10" s="12">
        <v>26.67</v>
      </c>
      <c r="BR10" s="12">
        <v>25.77</v>
      </c>
      <c r="BS10" s="12">
        <v>23.23</v>
      </c>
      <c r="BT10" s="13">
        <f t="shared" si="4"/>
        <v>25.664200000000001</v>
      </c>
      <c r="BU10" s="13">
        <f t="shared" si="5"/>
        <v>1.58993316121869</v>
      </c>
    </row>
    <row r="11" spans="1:73">
      <c r="A11" s="2">
        <v>42296</v>
      </c>
      <c r="B11" s="3">
        <v>26.31</v>
      </c>
      <c r="C11" s="3">
        <v>27.07</v>
      </c>
      <c r="D11" s="3">
        <v>23.57</v>
      </c>
      <c r="E11" s="3">
        <v>26.82</v>
      </c>
      <c r="F11" s="3">
        <v>25.34</v>
      </c>
      <c r="G11" s="3">
        <v>26.51</v>
      </c>
      <c r="H11" s="3">
        <v>26.49</v>
      </c>
      <c r="I11" s="3">
        <v>26.78</v>
      </c>
      <c r="J11" s="3">
        <v>26.6</v>
      </c>
      <c r="K11" s="3">
        <v>27.82</v>
      </c>
      <c r="L11" s="3">
        <v>26.82</v>
      </c>
      <c r="M11" s="3">
        <v>26.11</v>
      </c>
      <c r="N11" s="3">
        <v>26.51</v>
      </c>
      <c r="O11" s="3">
        <v>25.83</v>
      </c>
      <c r="P11" s="3">
        <v>28.14</v>
      </c>
      <c r="Q11" s="3">
        <v>26.447999999999997</v>
      </c>
      <c r="R11" s="3">
        <v>1.054833771603036</v>
      </c>
      <c r="T11" s="3">
        <v>25.69</v>
      </c>
      <c r="U11" s="3">
        <v>25.44</v>
      </c>
      <c r="V11" s="3">
        <v>26.31</v>
      </c>
      <c r="W11" s="3">
        <v>25.32</v>
      </c>
      <c r="X11" s="3">
        <v>26.49</v>
      </c>
      <c r="Y11" s="3">
        <v>25.84</v>
      </c>
      <c r="Z11" s="3">
        <v>26.85</v>
      </c>
      <c r="AA11" s="3">
        <v>25.87</v>
      </c>
      <c r="AB11" s="3">
        <v>23.62</v>
      </c>
      <c r="AC11" s="3">
        <v>23.69</v>
      </c>
      <c r="AD11" s="3">
        <v>25.49</v>
      </c>
      <c r="AE11" s="3">
        <v>26.89</v>
      </c>
      <c r="AF11" s="3">
        <v>26.53</v>
      </c>
      <c r="AG11" s="3">
        <v>24.48</v>
      </c>
      <c r="AH11" s="3">
        <f t="shared" si="0"/>
        <v>25.607857142857142</v>
      </c>
      <c r="AI11" s="3">
        <f t="shared" si="1"/>
        <v>1.0548217390151289</v>
      </c>
      <c r="AK11" s="7">
        <v>42296</v>
      </c>
      <c r="AL11" s="8">
        <v>27.01</v>
      </c>
      <c r="AM11" s="8">
        <v>27.61</v>
      </c>
      <c r="AN11" s="8">
        <v>24.12</v>
      </c>
      <c r="AO11" s="8">
        <v>25.15</v>
      </c>
      <c r="AP11" s="8">
        <v>25.1</v>
      </c>
      <c r="AQ11" s="8">
        <v>27.94</v>
      </c>
      <c r="AR11" s="8">
        <v>26.8</v>
      </c>
      <c r="AS11" s="8">
        <v>27.9</v>
      </c>
      <c r="AT11" s="8">
        <v>27.46</v>
      </c>
      <c r="AU11" s="8">
        <v>25.31</v>
      </c>
      <c r="AV11" s="8">
        <v>28.6</v>
      </c>
      <c r="AW11" s="8">
        <v>26.18</v>
      </c>
      <c r="AX11" s="8">
        <v>24.99</v>
      </c>
      <c r="AY11" s="8">
        <v>25.6</v>
      </c>
      <c r="AZ11" s="8">
        <v>24.46</v>
      </c>
      <c r="BA11" s="8">
        <f t="shared" si="2"/>
        <v>26.282000000000004</v>
      </c>
      <c r="BB11" s="8">
        <f t="shared" si="3"/>
        <v>1.4255735687785462</v>
      </c>
      <c r="BD11" s="11">
        <v>42296</v>
      </c>
      <c r="BE11" s="12">
        <v>27.34</v>
      </c>
      <c r="BF11" s="12">
        <v>26.6</v>
      </c>
      <c r="BG11" s="12">
        <v>24.65</v>
      </c>
      <c r="BH11" s="12">
        <v>26.31</v>
      </c>
      <c r="BI11" s="12">
        <v>28.12</v>
      </c>
      <c r="BJ11" s="12">
        <v>29.74</v>
      </c>
      <c r="BK11" s="12">
        <v>27.15</v>
      </c>
      <c r="BL11" s="12">
        <v>26.35</v>
      </c>
      <c r="BM11" s="12">
        <v>27.324000000000002</v>
      </c>
      <c r="BN11" s="12">
        <v>23.94</v>
      </c>
      <c r="BO11" s="12">
        <v>30.45</v>
      </c>
      <c r="BP11" s="12">
        <v>28.39</v>
      </c>
      <c r="BQ11" s="12">
        <v>27.33</v>
      </c>
      <c r="BR11" s="12">
        <v>26.07</v>
      </c>
      <c r="BS11" s="12">
        <v>24.85</v>
      </c>
      <c r="BT11" s="13">
        <f t="shared" si="4"/>
        <v>26.974266666666669</v>
      </c>
      <c r="BU11" s="13">
        <f t="shared" si="5"/>
        <v>1.7802636829841751</v>
      </c>
    </row>
    <row r="12" spans="1:73">
      <c r="A12" s="2">
        <v>42303</v>
      </c>
      <c r="B12" s="3">
        <v>25.65</v>
      </c>
      <c r="C12" s="3">
        <v>26.4</v>
      </c>
      <c r="D12" s="3">
        <v>29.47</v>
      </c>
      <c r="E12" s="3">
        <v>24.18</v>
      </c>
      <c r="F12" s="3">
        <v>27.59</v>
      </c>
      <c r="G12" s="3">
        <v>28.82</v>
      </c>
      <c r="H12" s="3">
        <v>26.65</v>
      </c>
      <c r="I12" s="3">
        <v>27.7</v>
      </c>
      <c r="J12" s="3">
        <v>26.91</v>
      </c>
      <c r="K12" s="3">
        <v>24.18</v>
      </c>
      <c r="L12" s="3">
        <v>25.91</v>
      </c>
      <c r="M12" s="3">
        <v>27.07</v>
      </c>
      <c r="N12" s="3">
        <v>28.55</v>
      </c>
      <c r="O12" s="3">
        <v>28.51</v>
      </c>
      <c r="P12" s="3">
        <v>27.52</v>
      </c>
      <c r="Q12" s="3">
        <v>27.007333333333332</v>
      </c>
      <c r="R12" s="3">
        <v>1.5724070114076096</v>
      </c>
      <c r="T12" s="3">
        <v>25.26</v>
      </c>
      <c r="U12" s="3">
        <v>26.54</v>
      </c>
      <c r="V12" s="3">
        <v>23.63</v>
      </c>
      <c r="W12" s="3">
        <v>26.44</v>
      </c>
      <c r="X12" s="3">
        <v>28.58</v>
      </c>
      <c r="Y12" s="3">
        <v>26.59</v>
      </c>
      <c r="Z12" s="3">
        <v>27.21</v>
      </c>
      <c r="AA12" s="3">
        <v>25.74</v>
      </c>
      <c r="AB12" s="3">
        <v>23.63</v>
      </c>
      <c r="AC12" s="3">
        <v>24.76</v>
      </c>
      <c r="AD12" s="3">
        <v>26.83</v>
      </c>
      <c r="AE12" s="3">
        <v>27.47</v>
      </c>
      <c r="AF12" s="3">
        <v>27.49</v>
      </c>
      <c r="AG12" s="3">
        <v>24.54</v>
      </c>
      <c r="AH12" s="3">
        <f t="shared" si="0"/>
        <v>26.050714285714285</v>
      </c>
      <c r="AI12" s="3">
        <f t="shared" si="1"/>
        <v>1.5065470672813595</v>
      </c>
      <c r="AK12" s="7">
        <v>42303</v>
      </c>
      <c r="AL12" s="8">
        <v>29.5</v>
      </c>
      <c r="AM12" s="8">
        <v>29.18</v>
      </c>
      <c r="AN12" s="8">
        <v>26.68</v>
      </c>
      <c r="AO12" s="8">
        <v>26.28</v>
      </c>
      <c r="AP12" s="8">
        <v>27.81</v>
      </c>
      <c r="AQ12" s="8">
        <v>29.17</v>
      </c>
      <c r="AR12" s="8">
        <v>28.09</v>
      </c>
      <c r="AS12" s="8">
        <v>28.43</v>
      </c>
      <c r="AT12" s="8">
        <v>27.92</v>
      </c>
      <c r="AU12" s="8">
        <v>27.11</v>
      </c>
      <c r="AV12" s="8">
        <v>29.15</v>
      </c>
      <c r="AW12" s="8">
        <v>26.5</v>
      </c>
      <c r="AX12" s="8">
        <v>24.45</v>
      </c>
      <c r="AY12" s="8">
        <v>25.9</v>
      </c>
      <c r="AZ12" s="8">
        <v>25.83</v>
      </c>
      <c r="BA12" s="8">
        <f t="shared" si="2"/>
        <v>27.466666666666661</v>
      </c>
      <c r="BB12" s="8">
        <f t="shared" si="3"/>
        <v>1.5063421479420496</v>
      </c>
      <c r="BD12" s="11">
        <v>42303</v>
      </c>
      <c r="BE12" s="12">
        <v>28.87</v>
      </c>
      <c r="BF12" s="12">
        <v>27.59</v>
      </c>
      <c r="BG12" s="12">
        <v>25.23</v>
      </c>
      <c r="BH12" s="12">
        <v>27.6</v>
      </c>
      <c r="BI12" s="12">
        <v>28.29</v>
      </c>
      <c r="BJ12" s="12">
        <v>30</v>
      </c>
      <c r="BK12" s="12">
        <v>28.35</v>
      </c>
      <c r="BL12" s="12">
        <v>26.34</v>
      </c>
      <c r="BM12" s="12">
        <v>27.45</v>
      </c>
      <c r="BN12" s="12">
        <v>25.44</v>
      </c>
      <c r="BO12" s="12">
        <v>30.35</v>
      </c>
      <c r="BP12" s="12">
        <v>26.7</v>
      </c>
      <c r="BQ12" s="12">
        <v>28.32</v>
      </c>
      <c r="BR12" s="12">
        <v>27.16</v>
      </c>
      <c r="BS12" s="12">
        <v>25.65</v>
      </c>
      <c r="BT12" s="13">
        <f t="shared" si="4"/>
        <v>27.555999999999997</v>
      </c>
      <c r="BU12" s="13">
        <f t="shared" si="5"/>
        <v>1.5390665074277055</v>
      </c>
    </row>
    <row r="13" spans="1:73">
      <c r="A13" s="2">
        <v>42309</v>
      </c>
      <c r="B13" s="3">
        <v>25.82</v>
      </c>
      <c r="C13" s="3">
        <v>26.28</v>
      </c>
      <c r="D13" s="3">
        <v>29.03</v>
      </c>
      <c r="E13" s="3">
        <v>25.66</v>
      </c>
      <c r="F13" s="3">
        <v>25.65</v>
      </c>
      <c r="G13" s="3">
        <v>28.52</v>
      </c>
      <c r="H13" s="3">
        <v>26.92</v>
      </c>
      <c r="I13" s="3">
        <v>28.75</v>
      </c>
      <c r="J13" s="3">
        <v>27.02</v>
      </c>
      <c r="K13" s="3">
        <v>25.66</v>
      </c>
      <c r="L13" s="3">
        <v>28.86</v>
      </c>
      <c r="M13" s="3">
        <v>27.08</v>
      </c>
      <c r="N13" s="3">
        <v>29.6</v>
      </c>
      <c r="O13" s="3">
        <v>26.95</v>
      </c>
      <c r="P13" s="3">
        <v>27.8</v>
      </c>
      <c r="Q13" s="3">
        <v>27.306666666666668</v>
      </c>
      <c r="R13" s="3">
        <v>1.3701650925900797</v>
      </c>
      <c r="T13" s="3">
        <v>26.49</v>
      </c>
      <c r="U13" s="3">
        <v>29.47</v>
      </c>
      <c r="V13" s="3">
        <v>25.39</v>
      </c>
      <c r="W13" s="3">
        <v>24.68</v>
      </c>
      <c r="X13" s="3">
        <v>28.37</v>
      </c>
      <c r="Y13" s="3">
        <v>26.32</v>
      </c>
      <c r="Z13" s="3">
        <v>28.54</v>
      </c>
      <c r="AA13" s="3">
        <v>27.94</v>
      </c>
      <c r="AB13" s="3">
        <v>25.78</v>
      </c>
      <c r="AC13" s="3">
        <v>25.48</v>
      </c>
      <c r="AD13" s="3">
        <v>27.12</v>
      </c>
      <c r="AE13" s="3">
        <v>28.58</v>
      </c>
      <c r="AF13" s="3">
        <v>25.48</v>
      </c>
      <c r="AG13" s="3">
        <v>24.49</v>
      </c>
      <c r="AH13" s="3">
        <f t="shared" si="0"/>
        <v>26.723571428571429</v>
      </c>
      <c r="AI13" s="3">
        <f t="shared" si="1"/>
        <v>1.6119820916301344</v>
      </c>
      <c r="AK13" s="7">
        <v>42309</v>
      </c>
      <c r="AL13" s="8">
        <v>27.1</v>
      </c>
      <c r="AM13" s="8">
        <v>27.88</v>
      </c>
      <c r="AN13" s="8">
        <v>26.49</v>
      </c>
      <c r="AO13" s="8">
        <v>28.05</v>
      </c>
      <c r="AP13" s="8">
        <v>29.51</v>
      </c>
      <c r="AQ13" s="8">
        <v>29.01</v>
      </c>
      <c r="AR13" s="8">
        <v>27.81</v>
      </c>
      <c r="AS13" s="8">
        <v>28.3</v>
      </c>
      <c r="AT13" s="8">
        <v>28.07</v>
      </c>
      <c r="AU13" s="8">
        <v>29.21</v>
      </c>
      <c r="AV13" s="8">
        <v>29.15</v>
      </c>
      <c r="AW13" s="8">
        <v>26.45</v>
      </c>
      <c r="AX13" s="8">
        <v>24.44</v>
      </c>
      <c r="AY13" s="8">
        <v>26.02</v>
      </c>
      <c r="AZ13" s="8">
        <v>26.96</v>
      </c>
      <c r="BA13" s="8">
        <f t="shared" si="2"/>
        <v>27.629999999999995</v>
      </c>
      <c r="BB13" s="8">
        <f t="shared" si="3"/>
        <v>1.3976868645832556</v>
      </c>
      <c r="BD13" s="11">
        <v>42309</v>
      </c>
      <c r="BE13" s="12">
        <v>26.83</v>
      </c>
      <c r="BF13" s="12">
        <v>29.11</v>
      </c>
      <c r="BG13" s="12">
        <v>28.4</v>
      </c>
      <c r="BH13" s="12">
        <v>28.65</v>
      </c>
      <c r="BI13" s="12">
        <v>28.04</v>
      </c>
      <c r="BJ13" s="12">
        <v>30.85</v>
      </c>
      <c r="BK13" s="12">
        <v>28.22</v>
      </c>
      <c r="BL13" s="12">
        <v>27.92</v>
      </c>
      <c r="BM13" s="12">
        <v>27.15</v>
      </c>
      <c r="BN13" s="12">
        <v>26.93</v>
      </c>
      <c r="BO13" s="12">
        <v>28.18</v>
      </c>
      <c r="BP13" s="12">
        <v>25.67</v>
      </c>
      <c r="BQ13" s="12">
        <v>29.75</v>
      </c>
      <c r="BR13" s="12">
        <v>28.1</v>
      </c>
      <c r="BS13" s="12">
        <v>29.05</v>
      </c>
      <c r="BT13" s="13">
        <f t="shared" si="4"/>
        <v>28.19</v>
      </c>
      <c r="BU13" s="13">
        <f t="shared" si="5"/>
        <v>1.2627803790502472</v>
      </c>
    </row>
    <row r="14" spans="1:73">
      <c r="A14" s="2">
        <v>42317</v>
      </c>
      <c r="B14" s="3">
        <v>25.15</v>
      </c>
      <c r="C14" s="3">
        <v>25.99</v>
      </c>
      <c r="D14" s="3">
        <v>27.15</v>
      </c>
      <c r="E14" s="3">
        <v>25.47</v>
      </c>
      <c r="F14" s="3">
        <v>27.6</v>
      </c>
      <c r="G14" s="3">
        <v>29.75</v>
      </c>
      <c r="H14" s="3">
        <v>29.25</v>
      </c>
      <c r="I14" s="3">
        <v>27.77</v>
      </c>
      <c r="J14" s="3">
        <v>26.7</v>
      </c>
      <c r="K14" s="3">
        <v>25.47</v>
      </c>
      <c r="L14" s="3">
        <v>27.15</v>
      </c>
      <c r="M14" s="3">
        <v>28.28</v>
      </c>
      <c r="N14" s="3">
        <v>27.9</v>
      </c>
      <c r="O14" s="3">
        <v>29.8</v>
      </c>
      <c r="P14" s="3">
        <v>28.92</v>
      </c>
      <c r="Q14" s="3">
        <v>27.489999999999995</v>
      </c>
      <c r="R14" s="3">
        <v>1.5401901552359425</v>
      </c>
      <c r="T14" s="3">
        <v>24.16</v>
      </c>
      <c r="U14" s="3">
        <v>26.32</v>
      </c>
      <c r="V14" s="3">
        <v>24.68</v>
      </c>
      <c r="W14" s="3">
        <v>28.54</v>
      </c>
      <c r="X14" s="3">
        <v>29.57</v>
      </c>
      <c r="Y14" s="3">
        <v>29.42</v>
      </c>
      <c r="Z14" s="3">
        <v>27.43</v>
      </c>
      <c r="AA14" s="3">
        <v>26.31</v>
      </c>
      <c r="AB14" s="3">
        <v>23.59</v>
      </c>
      <c r="AC14" s="3">
        <v>25.74</v>
      </c>
      <c r="AD14" s="3">
        <v>26.48</v>
      </c>
      <c r="AE14" s="3">
        <v>26.39</v>
      </c>
      <c r="AF14" s="3">
        <v>24.44</v>
      </c>
      <c r="AG14" s="3">
        <v>25.53</v>
      </c>
      <c r="AH14" s="3">
        <f t="shared" si="0"/>
        <v>26.328571428571429</v>
      </c>
      <c r="AI14" s="3">
        <f t="shared" si="1"/>
        <v>1.8742295120225443</v>
      </c>
      <c r="AK14" s="7">
        <v>42317</v>
      </c>
      <c r="AL14" s="8">
        <v>28.62</v>
      </c>
      <c r="AM14" s="8">
        <v>28.86</v>
      </c>
      <c r="AN14" s="8">
        <v>27.68</v>
      </c>
      <c r="AO14" s="8">
        <v>26.21</v>
      </c>
      <c r="AP14" s="8">
        <v>26.64</v>
      </c>
      <c r="AQ14" s="8">
        <v>27.93</v>
      </c>
      <c r="AR14" s="8">
        <v>29.62</v>
      </c>
      <c r="AS14" s="8">
        <v>29.03</v>
      </c>
      <c r="AT14" s="8">
        <v>27.99</v>
      </c>
      <c r="AU14" s="8">
        <v>28.28</v>
      </c>
      <c r="AV14" s="8">
        <v>29.06</v>
      </c>
      <c r="AW14" s="8">
        <v>27.45</v>
      </c>
      <c r="AX14" s="8">
        <v>26.12</v>
      </c>
      <c r="AY14" s="8">
        <v>26.15</v>
      </c>
      <c r="AZ14" s="8">
        <v>29.84</v>
      </c>
      <c r="BA14" s="8">
        <f t="shared" si="2"/>
        <v>27.96533333333333</v>
      </c>
      <c r="BB14" s="8">
        <f t="shared" si="3"/>
        <v>1.2478373673031655</v>
      </c>
      <c r="BD14" s="11">
        <v>42317</v>
      </c>
      <c r="BE14" s="12">
        <v>29.65</v>
      </c>
      <c r="BF14" s="12">
        <v>29.95</v>
      </c>
      <c r="BG14" s="12">
        <v>26.3</v>
      </c>
      <c r="BH14" s="12">
        <v>28.79</v>
      </c>
      <c r="BI14" s="12">
        <v>28.85</v>
      </c>
      <c r="BJ14" s="12">
        <v>30.57</v>
      </c>
      <c r="BK14" s="12">
        <v>31.32</v>
      </c>
      <c r="BL14" s="12">
        <v>25.83</v>
      </c>
      <c r="BM14" s="12">
        <v>29.15</v>
      </c>
      <c r="BN14" s="12">
        <v>27.45</v>
      </c>
      <c r="BO14" s="12">
        <v>30.55</v>
      </c>
      <c r="BP14" s="12">
        <v>28.42</v>
      </c>
      <c r="BQ14" s="12">
        <v>27.22</v>
      </c>
      <c r="BR14" s="12">
        <v>25.56</v>
      </c>
      <c r="BS14" s="12">
        <v>29.3</v>
      </c>
      <c r="BT14" s="13">
        <f t="shared" si="4"/>
        <v>28.593999999999998</v>
      </c>
      <c r="BU14" s="13">
        <f t="shared" si="5"/>
        <v>1.7800714271383291</v>
      </c>
    </row>
    <row r="15" spans="1:73">
      <c r="A15" s="2">
        <v>42324</v>
      </c>
      <c r="B15" s="3">
        <v>27.35</v>
      </c>
      <c r="C15" s="3">
        <v>26.34</v>
      </c>
      <c r="D15" s="3">
        <v>27.48</v>
      </c>
      <c r="E15" s="3">
        <v>26.37</v>
      </c>
      <c r="F15" s="3">
        <v>28.22</v>
      </c>
      <c r="G15" s="3">
        <v>28.84</v>
      </c>
      <c r="H15" s="3">
        <v>29.62</v>
      </c>
      <c r="I15" s="3">
        <v>27.13</v>
      </c>
      <c r="J15" s="3">
        <v>27.44</v>
      </c>
      <c r="K15" s="3">
        <v>26.37</v>
      </c>
      <c r="L15" s="3">
        <v>29.75</v>
      </c>
      <c r="M15" s="3">
        <v>29.94</v>
      </c>
      <c r="N15" s="3">
        <v>27.25</v>
      </c>
      <c r="O15" s="3">
        <v>31.45</v>
      </c>
      <c r="P15" s="3">
        <v>30.3</v>
      </c>
      <c r="Q15" s="3">
        <v>28.256666666666664</v>
      </c>
      <c r="R15" s="3">
        <v>1.6213780147352026</v>
      </c>
      <c r="T15" s="3">
        <v>26.44</v>
      </c>
      <c r="U15" s="3">
        <v>26.39</v>
      </c>
      <c r="V15" s="3">
        <v>26.38</v>
      </c>
      <c r="W15" s="3">
        <v>28.54</v>
      </c>
      <c r="X15" s="3">
        <v>28.48</v>
      </c>
      <c r="Y15" s="3">
        <v>29.44</v>
      </c>
      <c r="Z15" s="3">
        <v>25.18</v>
      </c>
      <c r="AA15" s="3">
        <v>27.84</v>
      </c>
      <c r="AB15" s="3">
        <v>26.39</v>
      </c>
      <c r="AC15" s="3">
        <v>26.18</v>
      </c>
      <c r="AD15" s="3">
        <v>27.54</v>
      </c>
      <c r="AE15" s="3">
        <v>25.32</v>
      </c>
      <c r="AF15" s="3">
        <v>25.12</v>
      </c>
      <c r="AG15" s="3">
        <v>25.48</v>
      </c>
      <c r="AH15" s="3">
        <f t="shared" si="0"/>
        <v>26.765714285714289</v>
      </c>
      <c r="AI15" s="3">
        <f t="shared" si="1"/>
        <v>1.3822652216044298</v>
      </c>
      <c r="AK15" s="7">
        <v>42324</v>
      </c>
      <c r="AL15" s="8">
        <v>27.55</v>
      </c>
      <c r="AM15" s="8">
        <v>30.9</v>
      </c>
      <c r="AN15" s="8">
        <v>28.57</v>
      </c>
      <c r="AO15" s="8">
        <v>29.93</v>
      </c>
      <c r="AP15" s="8">
        <v>26.65</v>
      </c>
      <c r="AQ15" s="8">
        <v>28.5</v>
      </c>
      <c r="AR15" s="8">
        <v>30.19</v>
      </c>
      <c r="AS15" s="8">
        <v>29.47</v>
      </c>
      <c r="AT15" s="8">
        <v>29.68</v>
      </c>
      <c r="AU15" s="8">
        <v>27.65</v>
      </c>
      <c r="AV15" s="8">
        <v>29.8</v>
      </c>
      <c r="AW15" s="8">
        <v>25.65</v>
      </c>
      <c r="AX15" s="8">
        <v>28.65</v>
      </c>
      <c r="AY15" s="8">
        <v>26.54</v>
      </c>
      <c r="AZ15" s="8">
        <v>30.65</v>
      </c>
      <c r="BA15" s="8">
        <f t="shared" si="2"/>
        <v>28.691999999999997</v>
      </c>
      <c r="BB15" s="8">
        <f t="shared" si="3"/>
        <v>1.5989469749092462</v>
      </c>
      <c r="BD15" s="11">
        <v>42324</v>
      </c>
      <c r="BE15" s="12">
        <v>30.5</v>
      </c>
      <c r="BF15" s="12">
        <v>30.24</v>
      </c>
      <c r="BG15" s="12">
        <v>26.15</v>
      </c>
      <c r="BH15" s="12">
        <v>29.24</v>
      </c>
      <c r="BI15" s="12">
        <v>29.83</v>
      </c>
      <c r="BJ15" s="12">
        <v>30.1</v>
      </c>
      <c r="BK15" s="12">
        <v>34.32</v>
      </c>
      <c r="BL15" s="12">
        <v>28.16</v>
      </c>
      <c r="BM15" s="12">
        <v>30.23</v>
      </c>
      <c r="BN15" s="12">
        <v>28.32</v>
      </c>
      <c r="BO15" s="12">
        <v>32.25</v>
      </c>
      <c r="BP15" s="12">
        <v>26.87</v>
      </c>
      <c r="BQ15" s="12">
        <v>30.1</v>
      </c>
      <c r="BR15" s="12">
        <v>29.41</v>
      </c>
      <c r="BS15" s="12">
        <v>30.15</v>
      </c>
      <c r="BT15" s="13">
        <f t="shared" si="4"/>
        <v>29.724666666666668</v>
      </c>
      <c r="BU15" s="13">
        <f t="shared" si="5"/>
        <v>1.9779638400084452</v>
      </c>
    </row>
    <row r="16" spans="1:73">
      <c r="A16" s="2">
        <v>42331</v>
      </c>
      <c r="B16" s="3">
        <v>27.65</v>
      </c>
      <c r="C16" s="3">
        <v>28.23</v>
      </c>
      <c r="D16" s="3">
        <v>26.15</v>
      </c>
      <c r="E16" s="3">
        <v>28.34</v>
      </c>
      <c r="F16" s="3">
        <v>26.27</v>
      </c>
      <c r="G16" s="3">
        <v>30.99</v>
      </c>
      <c r="H16" s="3">
        <v>27.17</v>
      </c>
      <c r="I16" s="3">
        <v>25.9</v>
      </c>
      <c r="J16" s="3">
        <v>28.2</v>
      </c>
      <c r="K16" s="3">
        <v>28.33</v>
      </c>
      <c r="L16" s="3">
        <v>28.23</v>
      </c>
      <c r="M16" s="3">
        <v>28.79</v>
      </c>
      <c r="N16" s="3">
        <v>29.82</v>
      </c>
      <c r="O16" s="3">
        <v>30.15</v>
      </c>
      <c r="P16" s="3">
        <v>33.83</v>
      </c>
      <c r="Q16" s="3">
        <v>28.536666666666669</v>
      </c>
      <c r="R16" s="3">
        <v>2.0559136539215239</v>
      </c>
      <c r="T16" s="3">
        <v>27.68</v>
      </c>
      <c r="U16" s="3">
        <v>25.49</v>
      </c>
      <c r="V16" s="3">
        <v>28.52</v>
      </c>
      <c r="W16" s="3">
        <v>29.42</v>
      </c>
      <c r="X16" s="3">
        <v>29.79</v>
      </c>
      <c r="Y16" s="3">
        <v>30.58</v>
      </c>
      <c r="Z16" s="3">
        <v>27.44</v>
      </c>
      <c r="AA16" s="3">
        <v>28.68</v>
      </c>
      <c r="AB16" s="3">
        <v>27.59</v>
      </c>
      <c r="AC16" s="3">
        <v>26.74</v>
      </c>
      <c r="AD16" s="3">
        <v>28.58</v>
      </c>
      <c r="AE16" s="3">
        <v>26.68</v>
      </c>
      <c r="AF16" s="3">
        <v>26.21</v>
      </c>
      <c r="AG16" s="3">
        <v>23.64</v>
      </c>
      <c r="AH16" s="3">
        <f t="shared" si="0"/>
        <v>27.645714285714284</v>
      </c>
      <c r="AI16" s="3">
        <f t="shared" si="1"/>
        <v>1.8317025047572721</v>
      </c>
      <c r="AK16" s="7">
        <v>42331</v>
      </c>
      <c r="AL16" s="8">
        <v>30.71</v>
      </c>
      <c r="AM16" s="8">
        <v>28.38</v>
      </c>
      <c r="AN16" s="8">
        <v>27.54</v>
      </c>
      <c r="AO16" s="8">
        <v>30.89</v>
      </c>
      <c r="AP16" s="8">
        <v>29.61</v>
      </c>
      <c r="AQ16" s="8">
        <v>30.54</v>
      </c>
      <c r="AR16" s="8">
        <v>29.75</v>
      </c>
      <c r="AS16" s="8">
        <v>28.49</v>
      </c>
      <c r="AT16" s="8">
        <v>27.73</v>
      </c>
      <c r="AU16" s="8">
        <v>30.49</v>
      </c>
      <c r="AV16" s="8">
        <v>29.66</v>
      </c>
      <c r="AW16" s="8">
        <v>28.91</v>
      </c>
      <c r="AX16" s="8">
        <v>29.77</v>
      </c>
      <c r="AY16" s="8">
        <v>26.48</v>
      </c>
      <c r="AZ16" s="8">
        <v>31.69</v>
      </c>
      <c r="BA16" s="8">
        <f t="shared" si="2"/>
        <v>29.376000000000001</v>
      </c>
      <c r="BB16" s="8">
        <f t="shared" si="3"/>
        <v>1.4371092015371894</v>
      </c>
      <c r="BD16" s="11">
        <v>42331</v>
      </c>
      <c r="BE16" s="12">
        <v>30.65</v>
      </c>
      <c r="BF16" s="12">
        <v>30.42</v>
      </c>
      <c r="BG16" s="12">
        <v>28.89</v>
      </c>
      <c r="BH16" s="12">
        <v>29.93</v>
      </c>
      <c r="BI16" s="12">
        <v>30.7</v>
      </c>
      <c r="BJ16" s="12">
        <v>32.229999999999997</v>
      </c>
      <c r="BK16" s="12">
        <v>35.94</v>
      </c>
      <c r="BL16" s="12">
        <v>28.85</v>
      </c>
      <c r="BM16" s="12">
        <v>30.65</v>
      </c>
      <c r="BN16" s="12">
        <v>30.45</v>
      </c>
      <c r="BO16" s="12">
        <v>30.43</v>
      </c>
      <c r="BP16" s="12">
        <v>26.98</v>
      </c>
      <c r="BQ16" s="12">
        <v>32.54</v>
      </c>
      <c r="BR16" s="12">
        <v>29.5</v>
      </c>
      <c r="BS16" s="12">
        <v>30.8</v>
      </c>
      <c r="BT16" s="13">
        <f t="shared" si="4"/>
        <v>30.597333333333335</v>
      </c>
      <c r="BU16" s="13">
        <f t="shared" si="5"/>
        <v>1.996867069996922</v>
      </c>
    </row>
    <row r="17" spans="1:73">
      <c r="A17" s="2">
        <v>42338</v>
      </c>
      <c r="B17" s="3">
        <v>27.93</v>
      </c>
      <c r="C17" s="3">
        <v>27.72</v>
      </c>
      <c r="D17" s="3">
        <v>27.77</v>
      </c>
      <c r="E17" s="3">
        <v>29.48</v>
      </c>
      <c r="F17" s="3">
        <v>26.6</v>
      </c>
      <c r="G17" s="3">
        <v>28.43</v>
      </c>
      <c r="H17" s="3">
        <v>28.18</v>
      </c>
      <c r="I17" s="3">
        <v>28.26</v>
      </c>
      <c r="J17" s="3">
        <v>28.51</v>
      </c>
      <c r="K17" s="3">
        <v>29.4</v>
      </c>
      <c r="L17" s="3">
        <v>29.42</v>
      </c>
      <c r="M17" s="3">
        <v>30.19</v>
      </c>
      <c r="N17" s="3">
        <v>30.15</v>
      </c>
      <c r="O17" s="3">
        <v>29.23</v>
      </c>
      <c r="P17" s="3">
        <v>32.58</v>
      </c>
      <c r="Q17" s="3">
        <v>28.923333333333332</v>
      </c>
      <c r="R17" s="3">
        <v>1.412387374355242</v>
      </c>
      <c r="T17" s="3">
        <v>24.48</v>
      </c>
      <c r="U17" s="3">
        <v>23.48</v>
      </c>
      <c r="V17" s="3">
        <v>25.39</v>
      </c>
      <c r="W17" s="3">
        <v>27.45</v>
      </c>
      <c r="X17" s="3">
        <v>26.58</v>
      </c>
      <c r="Y17" s="3">
        <v>27.55</v>
      </c>
      <c r="Z17" s="3">
        <v>28.25</v>
      </c>
      <c r="AA17" s="3">
        <v>26.47</v>
      </c>
      <c r="AB17" s="3">
        <v>28.13</v>
      </c>
      <c r="AC17" s="3">
        <v>27.57</v>
      </c>
      <c r="AD17" s="3">
        <v>29.48</v>
      </c>
      <c r="AE17" s="3">
        <v>25.38</v>
      </c>
      <c r="AF17" s="3">
        <v>26.58</v>
      </c>
      <c r="AG17" s="3">
        <v>24.58</v>
      </c>
      <c r="AH17" s="3">
        <f t="shared" si="0"/>
        <v>26.526428571428571</v>
      </c>
      <c r="AI17" s="3">
        <f t="shared" si="1"/>
        <v>1.6899549704645398</v>
      </c>
      <c r="AK17" s="7">
        <v>42338</v>
      </c>
      <c r="AL17" s="8">
        <v>27.5</v>
      </c>
      <c r="AM17" s="8">
        <v>29.89</v>
      </c>
      <c r="AN17" s="8">
        <v>29.98</v>
      </c>
      <c r="AO17" s="8">
        <v>30.93</v>
      </c>
      <c r="AP17" s="8">
        <v>28.81</v>
      </c>
      <c r="AQ17" s="8">
        <v>30.91</v>
      </c>
      <c r="AR17" s="8">
        <v>31.65</v>
      </c>
      <c r="AS17" s="8">
        <v>29.54</v>
      </c>
      <c r="AT17" s="8">
        <v>28.31</v>
      </c>
      <c r="AU17" s="8">
        <v>30.86</v>
      </c>
      <c r="AV17" s="8">
        <v>30.25</v>
      </c>
      <c r="AW17" s="8">
        <v>30.59</v>
      </c>
      <c r="AX17" s="8">
        <v>30.11</v>
      </c>
      <c r="AY17" s="8">
        <v>28.1</v>
      </c>
      <c r="AZ17" s="8">
        <v>33.4</v>
      </c>
      <c r="BA17" s="8">
        <f t="shared" si="2"/>
        <v>30.055333333333333</v>
      </c>
      <c r="BB17" s="8">
        <f t="shared" si="3"/>
        <v>1.4987655237688431</v>
      </c>
      <c r="BD17" s="11">
        <v>42338</v>
      </c>
      <c r="BE17" s="12">
        <v>30.85</v>
      </c>
      <c r="BF17" s="12">
        <v>28.4</v>
      </c>
      <c r="BG17" s="12">
        <v>30.28</v>
      </c>
      <c r="BH17" s="12">
        <v>30.9</v>
      </c>
      <c r="BI17" s="12">
        <v>30.71</v>
      </c>
      <c r="BJ17" s="12">
        <v>35.799999999999997</v>
      </c>
      <c r="BK17" s="12">
        <v>35.22</v>
      </c>
      <c r="BL17" s="12">
        <v>35.979999999999997</v>
      </c>
      <c r="BM17" s="12">
        <v>29.12</v>
      </c>
      <c r="BN17" s="12">
        <v>30.12</v>
      </c>
      <c r="BO17" s="12">
        <v>32.74</v>
      </c>
      <c r="BP17" s="12">
        <v>29.3</v>
      </c>
      <c r="BQ17" s="12">
        <v>30.55</v>
      </c>
      <c r="BR17" s="12">
        <v>32.6</v>
      </c>
      <c r="BS17" s="12">
        <v>30.8</v>
      </c>
      <c r="BT17" s="13">
        <f t="shared" si="4"/>
        <v>31.558000000000003</v>
      </c>
      <c r="BU17" s="13">
        <f t="shared" si="5"/>
        <v>2.4113161788296678</v>
      </c>
    </row>
    <row r="18" spans="1:73">
      <c r="A18" s="2">
        <v>42345</v>
      </c>
      <c r="B18" s="3">
        <v>26.89</v>
      </c>
      <c r="C18" s="3">
        <v>29.32</v>
      </c>
      <c r="D18" s="3">
        <v>28.72</v>
      </c>
      <c r="E18" s="3">
        <v>28.39</v>
      </c>
      <c r="F18" s="3">
        <v>29.94</v>
      </c>
      <c r="G18" s="3">
        <v>30.62</v>
      </c>
      <c r="H18" s="3">
        <v>28.88</v>
      </c>
      <c r="I18" s="3">
        <v>30.74</v>
      </c>
      <c r="J18" s="3">
        <v>27.85</v>
      </c>
      <c r="K18" s="3">
        <v>28.94</v>
      </c>
      <c r="L18" s="3">
        <v>30.16</v>
      </c>
      <c r="M18" s="3">
        <v>28.55</v>
      </c>
      <c r="N18" s="3">
        <v>29.16</v>
      </c>
      <c r="O18" s="3">
        <v>32.5</v>
      </c>
      <c r="P18" s="3">
        <v>30.3</v>
      </c>
      <c r="Q18" s="3">
        <v>29.397333333333339</v>
      </c>
      <c r="R18" s="3">
        <v>1.3634696636924208</v>
      </c>
      <c r="T18" s="3">
        <v>24.11</v>
      </c>
      <c r="U18" s="3">
        <v>23.58</v>
      </c>
      <c r="V18" s="3">
        <v>26.32</v>
      </c>
      <c r="W18" s="3">
        <v>26.69</v>
      </c>
      <c r="X18" s="3">
        <v>24.37</v>
      </c>
      <c r="Y18" s="3">
        <v>25.49</v>
      </c>
      <c r="Z18" s="3">
        <v>24.69</v>
      </c>
      <c r="AA18" s="3">
        <v>24.38</v>
      </c>
      <c r="AB18" s="3">
        <v>28.44</v>
      </c>
      <c r="AC18" s="3">
        <v>25.64</v>
      </c>
      <c r="AD18" s="3">
        <v>24.61</v>
      </c>
      <c r="AE18" s="3">
        <v>23.31</v>
      </c>
      <c r="AF18" s="3">
        <v>25.63</v>
      </c>
      <c r="AG18" s="3">
        <v>27.49</v>
      </c>
      <c r="AH18" s="3">
        <f t="shared" si="0"/>
        <v>25.339285714285715</v>
      </c>
      <c r="AI18" s="3">
        <f t="shared" si="1"/>
        <v>1.4874162641497315</v>
      </c>
      <c r="AK18" s="7">
        <v>42345</v>
      </c>
      <c r="AL18" s="8">
        <v>29.7</v>
      </c>
      <c r="AM18" s="8">
        <v>27.4</v>
      </c>
      <c r="AN18" s="8">
        <v>28.8</v>
      </c>
      <c r="AO18" s="8">
        <v>31.15</v>
      </c>
      <c r="AP18" s="8">
        <v>28.95</v>
      </c>
      <c r="AQ18" s="8">
        <v>32.97</v>
      </c>
      <c r="AR18" s="8">
        <v>30.73</v>
      </c>
      <c r="AS18" s="8">
        <v>27.72</v>
      </c>
      <c r="AT18" s="8">
        <v>30.75</v>
      </c>
      <c r="AU18" s="8">
        <v>30.8</v>
      </c>
      <c r="AV18" s="8">
        <v>30.65</v>
      </c>
      <c r="AW18" s="8">
        <v>30.9</v>
      </c>
      <c r="AX18" s="8">
        <v>30.23</v>
      </c>
      <c r="AY18" s="8">
        <v>28.61</v>
      </c>
      <c r="AZ18" s="8">
        <v>33.6</v>
      </c>
      <c r="BA18" s="8">
        <f t="shared" si="2"/>
        <v>30.197333333333333</v>
      </c>
      <c r="BB18" s="8">
        <f t="shared" si="3"/>
        <v>1.7333512819583536</v>
      </c>
      <c r="BD18" s="11">
        <v>42345</v>
      </c>
      <c r="BE18" s="12">
        <v>27.86</v>
      </c>
      <c r="BF18" s="12">
        <v>31.25</v>
      </c>
      <c r="BG18" s="12">
        <v>30.31</v>
      </c>
      <c r="BH18" s="12">
        <v>30.92</v>
      </c>
      <c r="BI18" s="12">
        <v>32.1</v>
      </c>
      <c r="BJ18" s="12">
        <v>37.24</v>
      </c>
      <c r="BK18" s="12">
        <v>34.299999999999997</v>
      </c>
      <c r="BL18" s="12">
        <v>30.4</v>
      </c>
      <c r="BM18" s="12">
        <v>30.3</v>
      </c>
      <c r="BN18" s="12">
        <v>30.54</v>
      </c>
      <c r="BO18" s="12">
        <v>30.25</v>
      </c>
      <c r="BP18" s="12">
        <v>28.7</v>
      </c>
      <c r="BQ18" s="12">
        <v>32.5</v>
      </c>
      <c r="BR18" s="12">
        <v>33.700000000000003</v>
      </c>
      <c r="BS18" s="12">
        <v>31.33</v>
      </c>
      <c r="BT18" s="13">
        <f t="shared" si="4"/>
        <v>31.446666666666665</v>
      </c>
      <c r="BU18" s="13">
        <f t="shared" si="5"/>
        <v>2.3147436348844548</v>
      </c>
    </row>
    <row r="19" spans="1:73">
      <c r="A19" s="2">
        <v>42352</v>
      </c>
      <c r="B19" s="3">
        <v>29.94</v>
      </c>
      <c r="C19" s="3">
        <v>27.45</v>
      </c>
      <c r="D19" s="3">
        <v>30.43</v>
      </c>
      <c r="E19" s="3">
        <v>30.95</v>
      </c>
      <c r="F19" s="3">
        <v>30.65</v>
      </c>
      <c r="G19" s="3">
        <v>31.28</v>
      </c>
      <c r="H19" s="3">
        <v>29.43</v>
      </c>
      <c r="I19" s="3">
        <v>31.65</v>
      </c>
      <c r="J19" s="3">
        <v>29.14</v>
      </c>
      <c r="K19" s="3">
        <v>31.95</v>
      </c>
      <c r="L19" s="3">
        <v>29.95</v>
      </c>
      <c r="M19" s="3">
        <v>29.13</v>
      </c>
      <c r="N19" s="3">
        <v>30.59</v>
      </c>
      <c r="O19" s="3">
        <v>31.23</v>
      </c>
      <c r="P19" s="3">
        <v>29.41</v>
      </c>
      <c r="Q19" s="3">
        <v>30.212</v>
      </c>
      <c r="R19" s="3">
        <v>1.1813503169799258</v>
      </c>
      <c r="T19" s="3">
        <v>27.48</v>
      </c>
      <c r="U19" s="3">
        <v>24.39</v>
      </c>
      <c r="V19" s="3">
        <v>25.25</v>
      </c>
      <c r="W19" s="3">
        <v>24.62</v>
      </c>
      <c r="X19" s="3">
        <v>24.22</v>
      </c>
      <c r="Y19" s="3">
        <v>24.21</v>
      </c>
      <c r="Z19" s="3">
        <v>25.79</v>
      </c>
      <c r="AA19" s="3">
        <v>23.68</v>
      </c>
      <c r="AB19" s="3">
        <v>23.37</v>
      </c>
      <c r="AC19" s="3">
        <v>26.22</v>
      </c>
      <c r="AD19" s="3">
        <v>26.78</v>
      </c>
      <c r="AE19" s="3">
        <v>24.62</v>
      </c>
      <c r="AF19" s="3">
        <v>24.14</v>
      </c>
      <c r="AG19" s="3">
        <v>23.31</v>
      </c>
      <c r="AH19" s="3">
        <f t="shared" si="0"/>
        <v>24.862857142857141</v>
      </c>
      <c r="AI19" s="3">
        <f t="shared" si="1"/>
        <v>1.2745703865733233</v>
      </c>
      <c r="AK19" s="7">
        <v>42352</v>
      </c>
      <c r="AL19" s="8">
        <v>29.5</v>
      </c>
      <c r="AM19" s="8">
        <v>30.17</v>
      </c>
      <c r="AN19" s="8">
        <v>28.45</v>
      </c>
      <c r="AO19" s="8">
        <v>31.54</v>
      </c>
      <c r="AP19" s="8">
        <v>30.12</v>
      </c>
      <c r="AQ19" s="8">
        <v>31.5</v>
      </c>
      <c r="AR19" s="8">
        <v>31.7</v>
      </c>
      <c r="AS19" s="8">
        <v>29.61</v>
      </c>
      <c r="AT19" s="8">
        <v>31.31</v>
      </c>
      <c r="AU19" s="8">
        <v>31.9</v>
      </c>
      <c r="AV19" s="8">
        <v>30.6</v>
      </c>
      <c r="AW19" s="8">
        <v>32.26</v>
      </c>
      <c r="AX19" s="8">
        <v>32.26</v>
      </c>
      <c r="AY19" s="8">
        <v>29.95</v>
      </c>
      <c r="AZ19" s="8">
        <v>35.1</v>
      </c>
      <c r="BA19" s="8">
        <f t="shared" si="2"/>
        <v>31.064666666666664</v>
      </c>
      <c r="BB19" s="8">
        <f t="shared" si="3"/>
        <v>1.5872386924047268</v>
      </c>
      <c r="BD19" s="11">
        <v>42352</v>
      </c>
      <c r="BE19" s="12">
        <v>30.62</v>
      </c>
      <c r="BF19" s="12">
        <v>30.98</v>
      </c>
      <c r="BG19" s="12">
        <v>30.78</v>
      </c>
      <c r="BH19" s="12">
        <v>30.15</v>
      </c>
      <c r="BI19" s="12">
        <v>32.75</v>
      </c>
      <c r="BJ19" s="12">
        <v>34.18</v>
      </c>
      <c r="BK19" s="12">
        <v>38.14</v>
      </c>
      <c r="BL19" s="12">
        <v>30.54</v>
      </c>
      <c r="BM19" s="12">
        <v>30.12</v>
      </c>
      <c r="BN19" s="12">
        <v>30.12</v>
      </c>
      <c r="BO19" s="12">
        <v>32.18</v>
      </c>
      <c r="BP19" s="12">
        <v>30.25</v>
      </c>
      <c r="BQ19" s="12">
        <v>31.55</v>
      </c>
      <c r="BR19" s="12">
        <v>30.22</v>
      </c>
      <c r="BS19" s="12">
        <v>32.549999999999997</v>
      </c>
      <c r="BT19" s="13">
        <f t="shared" si="4"/>
        <v>31.675333333333338</v>
      </c>
      <c r="BU19" s="13">
        <f t="shared" si="5"/>
        <v>2.1589973422423485</v>
      </c>
    </row>
    <row r="20" spans="1:73">
      <c r="A20" s="2">
        <v>42359</v>
      </c>
      <c r="B20" s="3">
        <v>31.55</v>
      </c>
      <c r="C20" s="3">
        <v>27.25</v>
      </c>
      <c r="D20" s="3">
        <v>30.66</v>
      </c>
      <c r="E20" s="3">
        <v>30.86</v>
      </c>
      <c r="F20" s="3">
        <v>31.26</v>
      </c>
      <c r="G20" s="3">
        <v>32.46</v>
      </c>
      <c r="H20" s="3">
        <v>29.9</v>
      </c>
      <c r="I20" s="3">
        <v>31.55</v>
      </c>
      <c r="J20" s="3">
        <v>31.9</v>
      </c>
      <c r="K20" s="3">
        <v>30.86</v>
      </c>
      <c r="L20" s="3">
        <v>29.58</v>
      </c>
      <c r="M20" s="3">
        <v>31.69</v>
      </c>
      <c r="N20" s="3">
        <v>29.95</v>
      </c>
      <c r="O20" s="3">
        <v>32.549999999999997</v>
      </c>
      <c r="P20" s="3">
        <v>29.29</v>
      </c>
      <c r="Q20" s="3">
        <v>30.754000000000001</v>
      </c>
      <c r="R20" s="3">
        <v>1.3901531262007487</v>
      </c>
      <c r="T20" s="3">
        <v>28.59</v>
      </c>
      <c r="U20" s="3">
        <v>26.52</v>
      </c>
      <c r="V20" s="3">
        <v>24.22</v>
      </c>
      <c r="W20" s="3">
        <v>23.19</v>
      </c>
      <c r="X20" s="3">
        <v>23.52</v>
      </c>
      <c r="Y20" s="3">
        <v>24.59</v>
      </c>
      <c r="Z20" s="3">
        <v>24.83</v>
      </c>
      <c r="AA20" s="3">
        <v>24.55</v>
      </c>
      <c r="AB20" s="3">
        <v>22.18</v>
      </c>
      <c r="AC20" s="3">
        <v>24.68</v>
      </c>
      <c r="AD20" s="3">
        <v>23.52</v>
      </c>
      <c r="AE20" s="3">
        <v>23.25</v>
      </c>
      <c r="AF20" s="3">
        <v>24.26</v>
      </c>
      <c r="AG20" s="3">
        <v>23.48</v>
      </c>
      <c r="AH20" s="3">
        <f t="shared" si="0"/>
        <v>24.384285714285713</v>
      </c>
      <c r="AI20" s="3">
        <f t="shared" si="1"/>
        <v>1.5818962053167724</v>
      </c>
      <c r="AK20" s="7">
        <v>42359</v>
      </c>
      <c r="AL20" s="8">
        <v>30.92</v>
      </c>
      <c r="AM20" s="8">
        <v>28.65</v>
      </c>
      <c r="AN20" s="8">
        <v>28.1</v>
      </c>
      <c r="AO20" s="8">
        <v>31.7</v>
      </c>
      <c r="AP20" s="8">
        <v>21.57</v>
      </c>
      <c r="AQ20" s="8">
        <v>33.4</v>
      </c>
      <c r="AR20" s="8">
        <v>32.6</v>
      </c>
      <c r="AS20" s="8">
        <v>30.5</v>
      </c>
      <c r="AT20" s="8">
        <v>33.4</v>
      </c>
      <c r="AU20" s="8">
        <v>31.87</v>
      </c>
      <c r="AV20" s="8">
        <v>31.5</v>
      </c>
      <c r="AW20" s="8">
        <v>29.8</v>
      </c>
      <c r="AX20" s="8">
        <v>32.799999999999997</v>
      </c>
      <c r="AY20" s="8">
        <v>30.55</v>
      </c>
      <c r="AZ20" s="8">
        <v>35.68</v>
      </c>
      <c r="BA20" s="8">
        <f t="shared" si="2"/>
        <v>30.869333333333334</v>
      </c>
      <c r="BB20" s="8">
        <f t="shared" si="3"/>
        <v>3.2206864101276604</v>
      </c>
      <c r="BD20" s="11">
        <v>42359</v>
      </c>
      <c r="BE20" s="12">
        <v>31.9</v>
      </c>
      <c r="BF20" s="12">
        <v>31.5</v>
      </c>
      <c r="BG20" s="12">
        <v>33.15</v>
      </c>
      <c r="BH20" s="12">
        <v>33.85</v>
      </c>
      <c r="BI20" s="12">
        <v>30.55</v>
      </c>
      <c r="BJ20" s="12">
        <v>37.75</v>
      </c>
      <c r="BK20" s="12">
        <v>38.549999999999997</v>
      </c>
      <c r="BL20" s="12">
        <v>32.119999999999997</v>
      </c>
      <c r="BM20" s="12">
        <v>31.44</v>
      </c>
      <c r="BN20" s="12">
        <v>32.54</v>
      </c>
      <c r="BO20" s="12">
        <v>30.75</v>
      </c>
      <c r="BP20" s="12">
        <v>31.36</v>
      </c>
      <c r="BQ20" s="12">
        <v>33.299999999999997</v>
      </c>
      <c r="BR20" s="12">
        <v>30.9</v>
      </c>
      <c r="BS20" s="12">
        <v>33.65</v>
      </c>
      <c r="BT20" s="13">
        <f t="shared" si="4"/>
        <v>32.887333333333331</v>
      </c>
      <c r="BU20" s="13">
        <f t="shared" si="5"/>
        <v>2.3826200064714671</v>
      </c>
    </row>
    <row r="21" spans="1:73">
      <c r="A21" s="2">
        <v>42366</v>
      </c>
      <c r="B21" s="3">
        <v>32.450000000000003</v>
      </c>
      <c r="C21" s="3">
        <v>30.97</v>
      </c>
      <c r="D21" s="3">
        <v>31.15</v>
      </c>
      <c r="E21" s="3">
        <v>28.56</v>
      </c>
      <c r="F21" s="3">
        <v>32.93</v>
      </c>
      <c r="G21" s="3">
        <v>31.78</v>
      </c>
      <c r="H21" s="3">
        <v>30.36</v>
      </c>
      <c r="I21" s="3">
        <v>32.6</v>
      </c>
      <c r="J21" s="3">
        <v>34.119999999999997</v>
      </c>
      <c r="K21" s="3">
        <v>28.56</v>
      </c>
      <c r="L21" s="3">
        <v>32.700000000000003</v>
      </c>
      <c r="M21" s="3">
        <v>30.11</v>
      </c>
      <c r="N21" s="3">
        <v>33.47</v>
      </c>
      <c r="O21" s="3">
        <v>29.43</v>
      </c>
      <c r="P21" s="3">
        <v>32.229999999999997</v>
      </c>
      <c r="Q21" s="3">
        <v>31.428000000000001</v>
      </c>
      <c r="R21" s="3">
        <v>1.7337704577019419</v>
      </c>
      <c r="T21" s="3">
        <v>25.63</v>
      </c>
      <c r="U21" s="3">
        <v>24.33</v>
      </c>
      <c r="V21" s="3">
        <v>25.59</v>
      </c>
      <c r="W21" s="3">
        <v>22.18</v>
      </c>
      <c r="X21" s="3">
        <v>24.68</v>
      </c>
      <c r="Y21" s="3">
        <v>23.35</v>
      </c>
      <c r="Z21" s="3">
        <v>22.57</v>
      </c>
      <c r="AA21" s="3">
        <v>24.29</v>
      </c>
      <c r="AB21" s="3">
        <v>28.58</v>
      </c>
      <c r="AC21" s="3">
        <v>22.83</v>
      </c>
      <c r="AD21" s="3">
        <v>20.69</v>
      </c>
      <c r="AE21" s="3">
        <v>23.27</v>
      </c>
      <c r="AF21" s="3">
        <v>26.58</v>
      </c>
      <c r="AG21" s="3">
        <v>23.85</v>
      </c>
      <c r="AH21" s="3">
        <f t="shared" si="0"/>
        <v>24.17285714285714</v>
      </c>
      <c r="AI21" s="3">
        <f t="shared" si="1"/>
        <v>1.9945133532978701</v>
      </c>
      <c r="AK21" s="7">
        <v>42366</v>
      </c>
      <c r="AL21" s="8">
        <v>32.700000000000003</v>
      </c>
      <c r="AM21" s="8">
        <v>29.95</v>
      </c>
      <c r="AN21" s="8">
        <v>30.9</v>
      </c>
      <c r="AO21" s="8">
        <v>30.15</v>
      </c>
      <c r="AP21" s="8">
        <v>32.5</v>
      </c>
      <c r="AQ21" s="8">
        <v>33.94</v>
      </c>
      <c r="AR21" s="8">
        <v>31.55</v>
      </c>
      <c r="AS21" s="8">
        <v>32.799999999999997</v>
      </c>
      <c r="AT21" s="8">
        <v>34.159999999999997</v>
      </c>
      <c r="AU21" s="8">
        <v>31.75</v>
      </c>
      <c r="AV21" s="8">
        <v>30.15</v>
      </c>
      <c r="AW21" s="8">
        <v>29.29</v>
      </c>
      <c r="AX21" s="8">
        <v>33.96</v>
      </c>
      <c r="AY21" s="8">
        <v>30.44</v>
      </c>
      <c r="AZ21" s="8">
        <v>38.11</v>
      </c>
      <c r="BA21" s="8">
        <f t="shared" si="2"/>
        <v>32.156666666666666</v>
      </c>
      <c r="BB21" s="8">
        <f t="shared" si="3"/>
        <v>2.2821501974693783</v>
      </c>
      <c r="BD21" s="11">
        <v>42366</v>
      </c>
      <c r="BE21" s="12">
        <v>31.45</v>
      </c>
      <c r="BF21" s="12">
        <v>34.1</v>
      </c>
      <c r="BG21" s="12">
        <v>32.75</v>
      </c>
      <c r="BH21" s="12">
        <v>32.200000000000003</v>
      </c>
      <c r="BI21" s="12">
        <v>32.5</v>
      </c>
      <c r="BJ21" s="12">
        <v>41.6</v>
      </c>
      <c r="BK21" s="12">
        <v>35.25</v>
      </c>
      <c r="BL21" s="12">
        <v>32.65</v>
      </c>
      <c r="BM21" s="12">
        <v>32.119999999999997</v>
      </c>
      <c r="BN21" s="12">
        <v>32.65</v>
      </c>
      <c r="BO21" s="12">
        <v>29.1</v>
      </c>
      <c r="BP21" s="12">
        <v>30.55</v>
      </c>
      <c r="BQ21" s="12">
        <v>31.22</v>
      </c>
      <c r="BR21" s="12">
        <v>32.6</v>
      </c>
      <c r="BS21" s="12">
        <v>33.119999999999997</v>
      </c>
      <c r="BT21" s="13">
        <f t="shared" si="4"/>
        <v>32.923999999999999</v>
      </c>
      <c r="BU21" s="13">
        <f t="shared" si="5"/>
        <v>2.7912562455947012</v>
      </c>
    </row>
    <row r="22" spans="1:73">
      <c r="A22" s="2">
        <v>42373</v>
      </c>
      <c r="B22" s="3">
        <v>33.229999999999997</v>
      </c>
      <c r="C22" s="3">
        <v>33.909999999999997</v>
      </c>
      <c r="D22" s="3">
        <v>31.25</v>
      </c>
      <c r="E22" s="3">
        <v>30.32</v>
      </c>
      <c r="F22" s="3">
        <v>30.53</v>
      </c>
      <c r="G22" s="3">
        <v>31.01</v>
      </c>
      <c r="H22" s="3">
        <v>29.15</v>
      </c>
      <c r="I22" s="3">
        <v>30.92</v>
      </c>
      <c r="J22" s="3">
        <v>33.619999999999997</v>
      </c>
      <c r="K22" s="3">
        <v>30.32</v>
      </c>
      <c r="L22" s="3">
        <v>30.74</v>
      </c>
      <c r="M22" s="3">
        <v>29.11</v>
      </c>
      <c r="N22" s="3">
        <v>30.12</v>
      </c>
      <c r="O22" s="3">
        <v>29.29</v>
      </c>
      <c r="P22" s="3">
        <v>34.83</v>
      </c>
      <c r="Q22" s="3">
        <v>31.223333333333336</v>
      </c>
      <c r="R22" s="3">
        <v>1.8166203576447999</v>
      </c>
      <c r="T22" s="3">
        <v>26.59</v>
      </c>
      <c r="U22" s="3">
        <v>22.63</v>
      </c>
      <c r="V22" s="3">
        <v>24.26</v>
      </c>
      <c r="W22" s="3">
        <v>21.69</v>
      </c>
      <c r="X22" s="3">
        <v>23.23</v>
      </c>
      <c r="Y22" s="3">
        <v>22.22</v>
      </c>
      <c r="Z22" s="3">
        <v>23.28</v>
      </c>
      <c r="AA22" s="3">
        <v>27.32</v>
      </c>
      <c r="AB22" s="3">
        <v>30.46</v>
      </c>
      <c r="AC22" s="3">
        <v>20.22</v>
      </c>
      <c r="AD22" s="3">
        <v>23.64</v>
      </c>
      <c r="AE22" s="3">
        <v>20.38</v>
      </c>
      <c r="AF22" s="3">
        <v>21.47</v>
      </c>
      <c r="AG22" s="3">
        <v>21.12</v>
      </c>
      <c r="AH22" s="3">
        <f t="shared" si="0"/>
        <v>23.465</v>
      </c>
      <c r="AI22" s="3">
        <f t="shared" si="1"/>
        <v>2.89871257895373</v>
      </c>
      <c r="AK22" s="7">
        <v>42373</v>
      </c>
      <c r="AL22" s="8">
        <v>32.119999999999997</v>
      </c>
      <c r="AM22" s="8">
        <v>33.369999999999997</v>
      </c>
      <c r="AN22" s="8">
        <v>32.950000000000003</v>
      </c>
      <c r="AO22" s="8">
        <v>30.23</v>
      </c>
      <c r="AP22" s="8">
        <v>31.43</v>
      </c>
      <c r="AQ22" s="8">
        <v>34.29</v>
      </c>
      <c r="AR22" s="8">
        <v>33.35</v>
      </c>
      <c r="AS22" s="8">
        <v>31.31</v>
      </c>
      <c r="AT22" s="8">
        <v>32.409999999999997</v>
      </c>
      <c r="AU22" s="8">
        <v>31.82</v>
      </c>
      <c r="AV22" s="8">
        <v>30.31</v>
      </c>
      <c r="AW22" s="8">
        <v>28.51</v>
      </c>
      <c r="AX22" s="8">
        <v>33.42</v>
      </c>
      <c r="AY22" s="8">
        <v>30.23</v>
      </c>
      <c r="AZ22" s="8">
        <v>31.32</v>
      </c>
      <c r="BA22" s="8">
        <f t="shared" si="2"/>
        <v>31.804666666666662</v>
      </c>
      <c r="BB22" s="8">
        <f t="shared" si="3"/>
        <v>1.5599993894992701</v>
      </c>
      <c r="BD22" s="11">
        <v>42373</v>
      </c>
      <c r="BE22" s="12">
        <v>32.450000000000003</v>
      </c>
      <c r="BF22" s="12">
        <v>35.1</v>
      </c>
      <c r="BG22" s="12">
        <v>32.950000000000003</v>
      </c>
      <c r="BH22" s="12">
        <v>32.229999999999997</v>
      </c>
      <c r="BI22" s="12">
        <v>33.43</v>
      </c>
      <c r="BJ22" s="12">
        <v>41.29</v>
      </c>
      <c r="BK22" s="12">
        <v>35.25</v>
      </c>
      <c r="BL22" s="12">
        <v>32.119999999999997</v>
      </c>
      <c r="BM22" s="12">
        <v>32.46</v>
      </c>
      <c r="BN22" s="12">
        <v>32.54</v>
      </c>
      <c r="BO22" s="12">
        <v>30.31</v>
      </c>
      <c r="BP22" s="12">
        <v>29.51</v>
      </c>
      <c r="BQ22" s="12">
        <v>34.82</v>
      </c>
      <c r="BR22" s="12">
        <v>29.23</v>
      </c>
      <c r="BS22" s="12">
        <v>32.65</v>
      </c>
      <c r="BT22" s="13">
        <f t="shared" si="4"/>
        <v>33.089333333333329</v>
      </c>
      <c r="BU22" s="13">
        <f t="shared" si="5"/>
        <v>2.8970587712039126</v>
      </c>
    </row>
    <row r="23" spans="1:73">
      <c r="A23" s="2">
        <v>42380</v>
      </c>
      <c r="B23" s="3">
        <v>32.409999999999997</v>
      </c>
      <c r="C23" s="3">
        <v>37.21</v>
      </c>
      <c r="D23" s="3">
        <v>30.56</v>
      </c>
      <c r="E23" s="3">
        <v>29.43</v>
      </c>
      <c r="F23" s="3">
        <v>30.65</v>
      </c>
      <c r="G23" s="3">
        <v>30.43</v>
      </c>
      <c r="H23" s="3">
        <v>30.95</v>
      </c>
      <c r="I23" s="3">
        <v>31.24</v>
      </c>
      <c r="J23" s="3">
        <v>30.78</v>
      </c>
      <c r="K23" s="3">
        <v>29.43</v>
      </c>
      <c r="L23" s="3">
        <v>31.12</v>
      </c>
      <c r="M23" s="3">
        <v>30.25</v>
      </c>
      <c r="N23" s="3">
        <v>31.71</v>
      </c>
      <c r="O23" s="3">
        <v>32.229999999999997</v>
      </c>
      <c r="P23" s="3">
        <v>33.979999999999997</v>
      </c>
      <c r="Q23" s="3">
        <v>31.492000000000004</v>
      </c>
      <c r="R23" s="3">
        <v>1.9653214931477674</v>
      </c>
      <c r="T23" s="3">
        <v>27.48</v>
      </c>
      <c r="U23" s="3">
        <v>22.21</v>
      </c>
      <c r="V23" s="3">
        <v>25.68</v>
      </c>
      <c r="W23" s="3">
        <v>22.44</v>
      </c>
      <c r="X23" s="3">
        <v>22.58</v>
      </c>
      <c r="Y23" s="3">
        <v>23.32</v>
      </c>
      <c r="Z23" s="3">
        <v>21.68</v>
      </c>
      <c r="AA23" s="3">
        <v>24.37</v>
      </c>
      <c r="AB23" s="3">
        <v>26.94</v>
      </c>
      <c r="AC23" s="3">
        <v>22.16</v>
      </c>
      <c r="AD23" s="3">
        <v>24.57</v>
      </c>
      <c r="AE23" s="3">
        <v>23.42</v>
      </c>
      <c r="AF23" s="3">
        <v>23.35</v>
      </c>
      <c r="AG23" s="3">
        <v>22.48</v>
      </c>
      <c r="AH23" s="3">
        <f t="shared" si="0"/>
        <v>23.762857142857147</v>
      </c>
      <c r="AI23" s="3">
        <f t="shared" si="1"/>
        <v>1.8230297207224471</v>
      </c>
      <c r="AK23" s="7">
        <v>42380</v>
      </c>
      <c r="AL23" s="8">
        <v>33.450000000000003</v>
      </c>
      <c r="AM23" s="8">
        <v>34.1</v>
      </c>
      <c r="AN23" s="8">
        <v>32.049999999999997</v>
      </c>
      <c r="AO23" s="8">
        <v>30.2</v>
      </c>
      <c r="AP23" s="8">
        <v>30.12</v>
      </c>
      <c r="AQ23" s="8">
        <v>32.43</v>
      </c>
      <c r="AR23" s="8">
        <v>33.25</v>
      </c>
      <c r="AS23" s="8">
        <v>32.18</v>
      </c>
      <c r="AT23" s="8">
        <v>32.549999999999997</v>
      </c>
      <c r="AU23" s="8">
        <v>31.81</v>
      </c>
      <c r="AV23" s="8">
        <v>29.18</v>
      </c>
      <c r="AW23" s="8">
        <v>29.55</v>
      </c>
      <c r="AX23" s="8">
        <v>33.81</v>
      </c>
      <c r="AY23" s="8">
        <v>31.84</v>
      </c>
      <c r="AZ23" s="8">
        <v>31.81</v>
      </c>
      <c r="BA23" s="8">
        <f t="shared" si="2"/>
        <v>31.888666666666669</v>
      </c>
      <c r="BB23" s="8">
        <f t="shared" si="3"/>
        <v>1.5239650664662643</v>
      </c>
      <c r="BD23" s="11">
        <v>42380</v>
      </c>
      <c r="BE23" s="12">
        <v>33.450000000000003</v>
      </c>
      <c r="BF23" s="12">
        <v>36.1</v>
      </c>
      <c r="BG23" s="12">
        <v>33.049999999999997</v>
      </c>
      <c r="BH23" s="12">
        <v>32.200000000000003</v>
      </c>
      <c r="BI23" s="12">
        <v>30.12</v>
      </c>
      <c r="BJ23" s="12">
        <v>42.43</v>
      </c>
      <c r="BK23" s="12">
        <v>34.229999999999997</v>
      </c>
      <c r="BL23" s="12">
        <v>33.119999999999997</v>
      </c>
      <c r="BM23" s="12">
        <v>33.65</v>
      </c>
      <c r="BN23" s="12">
        <v>32.11</v>
      </c>
      <c r="BO23" s="12">
        <v>32.18</v>
      </c>
      <c r="BP23" s="12">
        <v>30.55</v>
      </c>
      <c r="BQ23" s="12">
        <v>34.81</v>
      </c>
      <c r="BR23" s="12">
        <v>31.84</v>
      </c>
      <c r="BS23" s="12">
        <v>33.06</v>
      </c>
      <c r="BT23" s="13">
        <f t="shared" si="4"/>
        <v>33.526666666666664</v>
      </c>
      <c r="BU23" s="13">
        <f t="shared" si="5"/>
        <v>2.897729817501641</v>
      </c>
    </row>
    <row r="24" spans="1:73">
      <c r="A24" s="2">
        <v>42387</v>
      </c>
      <c r="B24" s="3">
        <v>31.15</v>
      </c>
      <c r="C24" s="3">
        <v>35.35</v>
      </c>
      <c r="D24" s="3">
        <v>27.94</v>
      </c>
      <c r="E24" s="3">
        <v>32.5</v>
      </c>
      <c r="F24" s="3">
        <v>32.520000000000003</v>
      </c>
      <c r="G24" s="3">
        <v>33.11</v>
      </c>
      <c r="H24" s="3">
        <v>31.71</v>
      </c>
      <c r="I24" s="3">
        <v>32.979999999999997</v>
      </c>
      <c r="J24" s="3">
        <v>29.72</v>
      </c>
      <c r="K24" s="3">
        <v>32.5</v>
      </c>
      <c r="L24" s="3">
        <v>31.32</v>
      </c>
      <c r="M24" s="3">
        <v>33.54</v>
      </c>
      <c r="N24" s="3">
        <v>33.770000000000003</v>
      </c>
      <c r="O24" s="3">
        <v>34.83</v>
      </c>
      <c r="P24" s="3">
        <v>33.74</v>
      </c>
      <c r="Q24" s="3">
        <v>32.44533333333333</v>
      </c>
      <c r="R24" s="3">
        <v>1.9030534361789164</v>
      </c>
      <c r="T24" s="3">
        <v>24.56</v>
      </c>
      <c r="U24" s="3">
        <v>24.48</v>
      </c>
      <c r="V24" s="3">
        <v>22.29</v>
      </c>
      <c r="W24" s="3">
        <v>22.14</v>
      </c>
      <c r="X24" s="3">
        <v>23.24</v>
      </c>
      <c r="Y24" s="3">
        <v>23.28</v>
      </c>
      <c r="Z24" s="3">
        <v>23.11</v>
      </c>
      <c r="AA24" s="3">
        <v>21.48</v>
      </c>
      <c r="AB24" s="3">
        <v>22.21</v>
      </c>
      <c r="AC24" s="3">
        <v>27.59</v>
      </c>
      <c r="AD24" s="3">
        <v>21.58</v>
      </c>
      <c r="AE24" s="3">
        <v>21.31</v>
      </c>
      <c r="AF24" s="3">
        <v>22.81</v>
      </c>
      <c r="AG24" s="3">
        <v>23.59</v>
      </c>
      <c r="AH24" s="3">
        <f t="shared" si="0"/>
        <v>23.119285714285716</v>
      </c>
      <c r="AI24" s="3">
        <f t="shared" si="1"/>
        <v>1.6426033009815866</v>
      </c>
      <c r="AK24" s="7">
        <v>42387</v>
      </c>
      <c r="AL24" s="8">
        <v>30.85</v>
      </c>
      <c r="AM24" s="8">
        <v>32.159999999999997</v>
      </c>
      <c r="AN24" s="8">
        <v>33.75</v>
      </c>
      <c r="AO24" s="8">
        <v>30.98</v>
      </c>
      <c r="AP24" s="8">
        <v>32.58</v>
      </c>
      <c r="AQ24" s="8">
        <v>32.74</v>
      </c>
      <c r="AR24" s="8">
        <v>30.75</v>
      </c>
      <c r="AS24" s="8">
        <v>33.450000000000003</v>
      </c>
      <c r="AT24" s="8">
        <v>33.28</v>
      </c>
      <c r="AU24" s="8">
        <v>33.18</v>
      </c>
      <c r="AV24" s="8">
        <v>29.83</v>
      </c>
      <c r="AW24" s="8">
        <v>28.4</v>
      </c>
      <c r="AX24" s="8">
        <v>36.49</v>
      </c>
      <c r="AY24" s="8">
        <v>31.16</v>
      </c>
      <c r="AZ24" s="8">
        <v>29.47</v>
      </c>
      <c r="BA24" s="8">
        <f t="shared" si="2"/>
        <v>31.937999999999995</v>
      </c>
      <c r="BB24" s="8">
        <f t="shared" si="3"/>
        <v>2.033797292891165</v>
      </c>
      <c r="BD24" s="11">
        <v>42387</v>
      </c>
      <c r="BE24" s="12">
        <v>35.1</v>
      </c>
      <c r="BF24" s="12">
        <v>33.549999999999997</v>
      </c>
      <c r="BG24" s="12">
        <v>33.799999999999997</v>
      </c>
      <c r="BH24" s="12">
        <v>31.98</v>
      </c>
      <c r="BI24" s="12">
        <v>32.799999999999997</v>
      </c>
      <c r="BJ24" s="12">
        <v>42.27</v>
      </c>
      <c r="BK24" s="12">
        <v>34.15</v>
      </c>
      <c r="BL24" s="12">
        <v>33.65</v>
      </c>
      <c r="BM24" s="12">
        <v>34.299999999999997</v>
      </c>
      <c r="BN24" s="12">
        <v>33.950000000000003</v>
      </c>
      <c r="BO24" s="12">
        <v>33.89</v>
      </c>
      <c r="BP24" s="12">
        <v>30.72</v>
      </c>
      <c r="BQ24" s="12">
        <v>36.61</v>
      </c>
      <c r="BR24" s="12">
        <v>32.54</v>
      </c>
      <c r="BS24" s="12">
        <v>33.54</v>
      </c>
      <c r="BT24" s="13">
        <f t="shared" si="4"/>
        <v>34.190000000000005</v>
      </c>
      <c r="BU24" s="13">
        <f t="shared" si="5"/>
        <v>2.6047703490765892</v>
      </c>
    </row>
    <row r="25" spans="1:73">
      <c r="A25" s="2">
        <v>42394</v>
      </c>
      <c r="B25" s="3">
        <v>33.21</v>
      </c>
      <c r="C25" s="3">
        <v>35.85</v>
      </c>
      <c r="D25" s="3">
        <v>29.65</v>
      </c>
      <c r="E25" s="3">
        <v>33.479999999999997</v>
      </c>
      <c r="F25" s="3">
        <v>35.9</v>
      </c>
      <c r="G25" s="3">
        <v>33.42</v>
      </c>
      <c r="H25" s="3">
        <v>33.46</v>
      </c>
      <c r="I25" s="3">
        <v>33.36</v>
      </c>
      <c r="J25" s="3">
        <v>31.58</v>
      </c>
      <c r="K25" s="3">
        <v>33.479999999999997</v>
      </c>
      <c r="L25" s="3">
        <v>33.85</v>
      </c>
      <c r="M25" s="3">
        <v>35.700000000000003</v>
      </c>
      <c r="N25" s="3">
        <v>34.22</v>
      </c>
      <c r="O25" s="3">
        <v>36.979999999999997</v>
      </c>
      <c r="P25" s="3">
        <v>34.97</v>
      </c>
      <c r="Q25" s="3">
        <v>33.940666666666665</v>
      </c>
      <c r="R25" s="3">
        <v>1.8272401776084795</v>
      </c>
      <c r="T25" s="3">
        <v>22.29</v>
      </c>
      <c r="U25" s="3">
        <v>23.53</v>
      </c>
      <c r="V25" s="3">
        <v>22.32</v>
      </c>
      <c r="W25" s="3">
        <v>24.21</v>
      </c>
      <c r="X25" s="3">
        <v>22.68</v>
      </c>
      <c r="Y25" s="3">
        <v>22.43</v>
      </c>
      <c r="Z25" s="3">
        <v>23.63</v>
      </c>
      <c r="AA25" s="3">
        <v>23.36</v>
      </c>
      <c r="AB25" s="3">
        <v>23.48</v>
      </c>
      <c r="AC25" s="3">
        <v>31.42</v>
      </c>
      <c r="AD25" s="3">
        <v>23.27</v>
      </c>
      <c r="AE25" s="3">
        <v>21.28</v>
      </c>
      <c r="AF25" s="3">
        <v>25.49</v>
      </c>
      <c r="AG25" s="3">
        <v>22.74</v>
      </c>
      <c r="AH25" s="3">
        <f t="shared" si="0"/>
        <v>23.723571428571429</v>
      </c>
      <c r="AI25" s="3">
        <f t="shared" si="1"/>
        <v>2.429962352170715</v>
      </c>
      <c r="AK25" s="7">
        <v>42394</v>
      </c>
      <c r="AL25" s="8">
        <v>30.65</v>
      </c>
      <c r="AM25" s="8">
        <v>33.950000000000003</v>
      </c>
      <c r="AN25" s="8">
        <v>31.94</v>
      </c>
      <c r="AO25" s="8">
        <v>31.76</v>
      </c>
      <c r="AP25" s="8">
        <v>32.840000000000003</v>
      </c>
      <c r="AQ25" s="8">
        <v>30.98</v>
      </c>
      <c r="AR25" s="8">
        <v>32.82</v>
      </c>
      <c r="AS25" s="8">
        <v>32.86</v>
      </c>
      <c r="AT25" s="8">
        <v>30.96</v>
      </c>
      <c r="AU25" s="8">
        <v>33.65</v>
      </c>
      <c r="AV25" s="8">
        <v>29.58</v>
      </c>
      <c r="AW25" s="8">
        <v>28.76</v>
      </c>
      <c r="AX25" s="8">
        <v>33.75</v>
      </c>
      <c r="AY25" s="8">
        <v>33.96</v>
      </c>
      <c r="AZ25" s="8">
        <v>29.61</v>
      </c>
      <c r="BA25" s="8">
        <f t="shared" si="2"/>
        <v>31.871333333333325</v>
      </c>
      <c r="BB25" s="8">
        <f t="shared" si="3"/>
        <v>1.719014944947362</v>
      </c>
      <c r="BD25" s="11">
        <v>42394</v>
      </c>
      <c r="BE25" s="12">
        <v>36.880000000000003</v>
      </c>
      <c r="BF25" s="12">
        <v>31.4</v>
      </c>
      <c r="BG25" s="12">
        <v>33.299999999999997</v>
      </c>
      <c r="BH25" s="12">
        <v>32.9</v>
      </c>
      <c r="BI25" s="12">
        <v>33.200000000000003</v>
      </c>
      <c r="BJ25" s="12">
        <v>43.75</v>
      </c>
      <c r="BK25" s="12">
        <v>35.74</v>
      </c>
      <c r="BL25" s="12">
        <v>33.340000000000003</v>
      </c>
      <c r="BM25" s="12">
        <v>33.65</v>
      </c>
      <c r="BN25" s="12">
        <v>33.29</v>
      </c>
      <c r="BO25" s="12">
        <v>34.21</v>
      </c>
      <c r="BP25" s="12">
        <v>30.43</v>
      </c>
      <c r="BQ25" s="12">
        <v>38.200000000000003</v>
      </c>
      <c r="BR25" s="12">
        <v>32.19</v>
      </c>
      <c r="BS25" s="12">
        <v>33.65</v>
      </c>
      <c r="BT25" s="13">
        <f t="shared" si="4"/>
        <v>34.408666666666669</v>
      </c>
      <c r="BU25" s="13">
        <f t="shared" si="5"/>
        <v>3.2499359700652279</v>
      </c>
    </row>
    <row r="26" spans="1:73">
      <c r="A26" s="2">
        <v>42401</v>
      </c>
      <c r="B26" s="3">
        <v>32.15</v>
      </c>
      <c r="C26" s="3">
        <v>32.94</v>
      </c>
      <c r="D26" s="3">
        <v>28.9</v>
      </c>
      <c r="E26" s="3">
        <v>32.75</v>
      </c>
      <c r="F26" s="3">
        <v>33.909999999999997</v>
      </c>
      <c r="G26" s="3">
        <v>33.729999999999997</v>
      </c>
      <c r="H26" s="3">
        <v>33.200000000000003</v>
      </c>
      <c r="I26" s="3">
        <v>31.53</v>
      </c>
      <c r="J26" s="3">
        <v>34.79</v>
      </c>
      <c r="K26" s="3">
        <v>32.75</v>
      </c>
      <c r="L26" s="3">
        <v>32.67</v>
      </c>
      <c r="M26" s="3">
        <v>34.46</v>
      </c>
      <c r="N26" s="3">
        <v>34.950000000000003</v>
      </c>
      <c r="O26" s="3">
        <v>33.74</v>
      </c>
      <c r="P26" s="3">
        <v>32.54</v>
      </c>
      <c r="Q26" s="3">
        <v>33.000666666666667</v>
      </c>
      <c r="R26" s="3">
        <v>1.4935406956369857</v>
      </c>
      <c r="T26" s="3">
        <v>22.25</v>
      </c>
      <c r="U26" s="3">
        <v>23.22</v>
      </c>
      <c r="V26" s="3">
        <v>22.69</v>
      </c>
      <c r="W26" s="3">
        <v>23.32</v>
      </c>
      <c r="X26" s="3">
        <v>23.42</v>
      </c>
      <c r="Y26" s="3">
        <v>23.29</v>
      </c>
      <c r="Z26" s="3">
        <v>24.89</v>
      </c>
      <c r="AA26" s="3">
        <v>21.52</v>
      </c>
      <c r="AB26" s="3">
        <v>23.69</v>
      </c>
      <c r="AC26" s="3">
        <v>27.33</v>
      </c>
      <c r="AD26" s="3">
        <v>22.63</v>
      </c>
      <c r="AE26" s="3">
        <v>21.49</v>
      </c>
      <c r="AF26" s="3">
        <v>26.63</v>
      </c>
      <c r="AG26" s="3">
        <v>21.9</v>
      </c>
      <c r="AH26" s="3">
        <f t="shared" si="0"/>
        <v>23.447857142857142</v>
      </c>
      <c r="AI26" s="3">
        <f t="shared" si="1"/>
        <v>1.7552829207475733</v>
      </c>
      <c r="AK26" s="7">
        <v>42401</v>
      </c>
      <c r="AL26" s="8">
        <v>30.77</v>
      </c>
      <c r="AM26" s="8">
        <v>32.6</v>
      </c>
      <c r="AN26" s="8">
        <v>30.87</v>
      </c>
      <c r="AO26" s="8">
        <v>30.35</v>
      </c>
      <c r="AP26" s="8">
        <v>30.9</v>
      </c>
      <c r="AQ26" s="8">
        <v>29.52</v>
      </c>
      <c r="AR26" s="8">
        <v>31.49</v>
      </c>
      <c r="AS26" s="8">
        <v>30.39</v>
      </c>
      <c r="AT26" s="8">
        <v>30.94</v>
      </c>
      <c r="AU26" s="8">
        <v>30.96</v>
      </c>
      <c r="AV26" s="8">
        <v>29.28</v>
      </c>
      <c r="AW26" s="8">
        <v>29.26</v>
      </c>
      <c r="AX26" s="8">
        <v>28.94</v>
      </c>
      <c r="AY26" s="8">
        <v>32.950000000000003</v>
      </c>
      <c r="AZ26" s="8">
        <v>29.1</v>
      </c>
      <c r="BA26" s="8">
        <f t="shared" si="2"/>
        <v>30.55466666666667</v>
      </c>
      <c r="BB26" s="8">
        <f t="shared" si="3"/>
        <v>1.2111792757867179</v>
      </c>
      <c r="BD26" s="11">
        <v>42401</v>
      </c>
      <c r="BE26" s="12">
        <v>32.200000000000003</v>
      </c>
      <c r="BF26" s="12">
        <v>30.91</v>
      </c>
      <c r="BG26" s="12">
        <v>36.9</v>
      </c>
      <c r="BH26" s="12">
        <v>33.42</v>
      </c>
      <c r="BI26" s="12">
        <v>35.130000000000003</v>
      </c>
      <c r="BJ26" s="12">
        <v>43.8</v>
      </c>
      <c r="BK26" s="12">
        <v>35.71</v>
      </c>
      <c r="BL26" s="12">
        <v>33.119999999999997</v>
      </c>
      <c r="BM26" s="12">
        <v>32.65</v>
      </c>
      <c r="BN26" s="12">
        <v>33.229999999999997</v>
      </c>
      <c r="BO26" s="12">
        <v>30.9</v>
      </c>
      <c r="BP26" s="12">
        <v>32.65</v>
      </c>
      <c r="BQ26" s="12">
        <v>38.409999999999997</v>
      </c>
      <c r="BR26" s="12">
        <v>32.54</v>
      </c>
      <c r="BS26" s="12">
        <v>33.19</v>
      </c>
      <c r="BT26" s="13">
        <f t="shared" si="4"/>
        <v>34.31733333333333</v>
      </c>
      <c r="BU26" s="13">
        <f t="shared" si="5"/>
        <v>3.3500862817602313</v>
      </c>
    </row>
    <row r="27" spans="1:73">
      <c r="A27" s="2">
        <v>42408</v>
      </c>
      <c r="B27" s="3">
        <v>32.6</v>
      </c>
      <c r="C27" s="3">
        <v>33.9</v>
      </c>
      <c r="D27" s="3">
        <v>29.43</v>
      </c>
      <c r="E27" s="3">
        <v>33.44</v>
      </c>
      <c r="F27" s="3">
        <v>34.9</v>
      </c>
      <c r="G27" s="3">
        <v>31.15</v>
      </c>
      <c r="H27" s="3">
        <v>31.89</v>
      </c>
      <c r="I27" s="3">
        <v>32.549999999999997</v>
      </c>
      <c r="J27" s="3">
        <v>32.36</v>
      </c>
      <c r="K27" s="3">
        <v>33.29</v>
      </c>
      <c r="L27" s="3">
        <v>31.89</v>
      </c>
      <c r="M27" s="3">
        <v>34.590000000000003</v>
      </c>
      <c r="N27" s="3">
        <v>34.65</v>
      </c>
      <c r="O27" s="3">
        <v>33.97</v>
      </c>
      <c r="P27" s="3">
        <v>31.83</v>
      </c>
      <c r="Q27" s="3">
        <v>32.829333333333331</v>
      </c>
      <c r="R27" s="3">
        <v>1.4934354769488782</v>
      </c>
      <c r="T27" s="3">
        <v>22.1</v>
      </c>
      <c r="U27" s="3">
        <v>25.59</v>
      </c>
      <c r="V27" s="3">
        <v>23.29</v>
      </c>
      <c r="W27" s="3">
        <v>23.95</v>
      </c>
      <c r="X27" s="3">
        <v>23.49</v>
      </c>
      <c r="Y27" s="3">
        <v>24.59</v>
      </c>
      <c r="Z27" s="3">
        <v>23.29</v>
      </c>
      <c r="AA27" s="3">
        <v>25.68</v>
      </c>
      <c r="AB27" s="3">
        <v>21.58</v>
      </c>
      <c r="AC27" s="3">
        <v>25.32</v>
      </c>
      <c r="AD27" s="3">
        <v>23.22</v>
      </c>
      <c r="AE27" s="3">
        <v>22.95</v>
      </c>
      <c r="AF27" s="3">
        <v>22.49</v>
      </c>
      <c r="AG27" s="3">
        <v>22.45</v>
      </c>
      <c r="AH27" s="3">
        <f t="shared" si="0"/>
        <v>23.570714285714285</v>
      </c>
      <c r="AI27" s="3">
        <f t="shared" si="1"/>
        <v>1.3006416421592391</v>
      </c>
      <c r="AK27" s="7">
        <v>42408</v>
      </c>
      <c r="AL27" s="8">
        <v>30.2</v>
      </c>
      <c r="AM27" s="8">
        <v>30.92</v>
      </c>
      <c r="AN27" s="8">
        <v>30.2</v>
      </c>
      <c r="AO27" s="8">
        <v>30.98</v>
      </c>
      <c r="AP27" s="8">
        <v>30.51</v>
      </c>
      <c r="AQ27" s="8">
        <v>29.56</v>
      </c>
      <c r="AR27" s="8">
        <v>30.96</v>
      </c>
      <c r="AS27" s="8">
        <v>30.98</v>
      </c>
      <c r="AT27" s="8">
        <v>30.18</v>
      </c>
      <c r="AU27" s="8">
        <v>30.21</v>
      </c>
      <c r="AV27" s="8">
        <v>29.77</v>
      </c>
      <c r="AW27" s="8">
        <v>28.98</v>
      </c>
      <c r="AX27" s="8">
        <v>29.23</v>
      </c>
      <c r="AY27" s="8">
        <v>31.6</v>
      </c>
      <c r="AZ27" s="8">
        <v>29.32</v>
      </c>
      <c r="BA27" s="8">
        <f t="shared" si="2"/>
        <v>30.240000000000002</v>
      </c>
      <c r="BB27" s="8">
        <f t="shared" si="3"/>
        <v>0.76268323325330478</v>
      </c>
      <c r="BD27" s="11">
        <v>42408</v>
      </c>
      <c r="BE27" s="12">
        <v>33.42</v>
      </c>
      <c r="BF27" s="12">
        <v>32.44</v>
      </c>
      <c r="BG27" s="12">
        <v>34.5</v>
      </c>
      <c r="BH27" s="12">
        <v>35.65</v>
      </c>
      <c r="BI27" s="12">
        <v>33.619999999999997</v>
      </c>
      <c r="BJ27" s="12">
        <v>43.96</v>
      </c>
      <c r="BK27" s="12">
        <v>35.93</v>
      </c>
      <c r="BL27" s="12">
        <v>35.75</v>
      </c>
      <c r="BM27" s="12">
        <v>33.200000000000003</v>
      </c>
      <c r="BN27" s="12">
        <v>34.65</v>
      </c>
      <c r="BO27" s="12">
        <v>31.22</v>
      </c>
      <c r="BP27" s="12">
        <v>32.9</v>
      </c>
      <c r="BQ27" s="12">
        <v>37.76</v>
      </c>
      <c r="BR27" s="12">
        <v>34.65</v>
      </c>
      <c r="BS27" s="12">
        <v>34.65</v>
      </c>
      <c r="BT27" s="13">
        <f t="shared" si="4"/>
        <v>34.953333333333326</v>
      </c>
      <c r="BU27" s="13">
        <f t="shared" si="5"/>
        <v>2.9668012275529221</v>
      </c>
    </row>
    <row r="28" spans="1:73">
      <c r="A28" s="2">
        <v>42415</v>
      </c>
      <c r="B28" s="3">
        <v>33.229999999999997</v>
      </c>
      <c r="C28" s="3">
        <v>34.409999999999997</v>
      </c>
      <c r="D28" s="3">
        <v>32.29</v>
      </c>
      <c r="E28" s="3">
        <v>34.65</v>
      </c>
      <c r="F28" s="3">
        <v>35.11</v>
      </c>
      <c r="G28" s="3">
        <v>31.95</v>
      </c>
      <c r="H28" s="3">
        <v>33.54</v>
      </c>
      <c r="I28" s="3">
        <v>32.979999999999997</v>
      </c>
      <c r="J28" s="3">
        <v>33.909999999999997</v>
      </c>
      <c r="K28" s="3">
        <v>29.43</v>
      </c>
      <c r="L28" s="3">
        <v>34.33</v>
      </c>
      <c r="M28" s="3">
        <v>35.369999999999997</v>
      </c>
      <c r="N28" s="3">
        <v>35.299999999999997</v>
      </c>
      <c r="O28" s="3">
        <v>33.4</v>
      </c>
      <c r="P28" s="3">
        <v>33.409999999999997</v>
      </c>
      <c r="Q28" s="3">
        <v>33.553999999999995</v>
      </c>
      <c r="R28" s="3">
        <v>1.5373297815182192</v>
      </c>
      <c r="T28" s="3">
        <v>21.86</v>
      </c>
      <c r="U28" s="3">
        <v>26.96</v>
      </c>
      <c r="V28" s="3">
        <v>23.62</v>
      </c>
      <c r="W28" s="3">
        <v>24.29</v>
      </c>
      <c r="X28" s="3">
        <v>24.21</v>
      </c>
      <c r="Y28" s="3">
        <v>23.32</v>
      </c>
      <c r="Z28" s="3">
        <v>22.21</v>
      </c>
      <c r="AA28" s="3">
        <v>23.59</v>
      </c>
      <c r="AB28" s="3">
        <v>23.28</v>
      </c>
      <c r="AC28" s="3">
        <v>25.69</v>
      </c>
      <c r="AD28" s="3">
        <v>23.39</v>
      </c>
      <c r="AE28" s="3">
        <v>22.59</v>
      </c>
      <c r="AF28" s="3">
        <v>22.9</v>
      </c>
      <c r="AG28" s="3">
        <v>24.28</v>
      </c>
      <c r="AH28" s="3">
        <f t="shared" si="0"/>
        <v>23.72785714285714</v>
      </c>
      <c r="AI28" s="3">
        <f t="shared" si="1"/>
        <v>1.342633340012934</v>
      </c>
      <c r="AK28" s="7">
        <v>42415</v>
      </c>
      <c r="AL28" s="8">
        <v>30.99</v>
      </c>
      <c r="AM28" s="8">
        <v>31.5</v>
      </c>
      <c r="AN28" s="8">
        <v>30.74</v>
      </c>
      <c r="AO28" s="8">
        <v>30.12</v>
      </c>
      <c r="AP28" s="8">
        <v>30.65</v>
      </c>
      <c r="AQ28" s="8">
        <v>30.9</v>
      </c>
      <c r="AR28" s="8">
        <v>31.72</v>
      </c>
      <c r="AS28" s="8">
        <v>29.33</v>
      </c>
      <c r="AT28" s="8">
        <v>30.73</v>
      </c>
      <c r="AU28" s="8">
        <v>28.41</v>
      </c>
      <c r="AV28" s="8">
        <v>29.39</v>
      </c>
      <c r="AW28" s="8">
        <v>29.7</v>
      </c>
      <c r="AX28" s="8">
        <v>30.26</v>
      </c>
      <c r="AY28" s="8">
        <v>28.65</v>
      </c>
      <c r="AZ28" s="8">
        <v>29.29</v>
      </c>
      <c r="BA28" s="8">
        <f t="shared" si="2"/>
        <v>30.158666666666665</v>
      </c>
      <c r="BB28" s="8">
        <f t="shared" si="3"/>
        <v>0.99898424602669478</v>
      </c>
      <c r="BD28" s="11">
        <v>42415</v>
      </c>
      <c r="BE28" s="12">
        <v>33.700000000000003</v>
      </c>
      <c r="BF28" s="12">
        <v>34.4</v>
      </c>
      <c r="BG28" s="12">
        <v>30.31</v>
      </c>
      <c r="BH28" s="12">
        <v>34.32</v>
      </c>
      <c r="BI28" s="12">
        <v>34.6</v>
      </c>
      <c r="BJ28" s="12">
        <v>45.7</v>
      </c>
      <c r="BK28" s="12">
        <v>36.520000000000003</v>
      </c>
      <c r="BL28" s="12">
        <v>36.119999999999997</v>
      </c>
      <c r="BM28" s="12">
        <v>34.659999999999997</v>
      </c>
      <c r="BN28" s="12">
        <v>35.6</v>
      </c>
      <c r="BO28" s="12">
        <v>33.799999999999997</v>
      </c>
      <c r="BP28" s="12">
        <v>33.6</v>
      </c>
      <c r="BQ28" s="12">
        <v>37.92</v>
      </c>
      <c r="BR28" s="12">
        <v>34.39</v>
      </c>
      <c r="BS28" s="12">
        <v>35.76</v>
      </c>
      <c r="BT28" s="13">
        <f t="shared" si="4"/>
        <v>35.426666666666662</v>
      </c>
      <c r="BU28" s="13">
        <f t="shared" si="5"/>
        <v>3.3095568686255676</v>
      </c>
    </row>
    <row r="29" spans="1:73">
      <c r="A29" s="2">
        <v>42422</v>
      </c>
      <c r="B29" s="3">
        <v>32.299999999999997</v>
      </c>
      <c r="C29" s="3">
        <v>33.619999999999997</v>
      </c>
      <c r="D29" s="3">
        <v>33.229999999999997</v>
      </c>
      <c r="E29" s="3">
        <v>34.119999999999997</v>
      </c>
      <c r="F29" s="3">
        <v>34.869999999999997</v>
      </c>
      <c r="G29" s="3">
        <v>33.229999999999997</v>
      </c>
      <c r="H29" s="3">
        <v>35.47</v>
      </c>
      <c r="I29" s="3">
        <v>34.75</v>
      </c>
      <c r="J29" s="3">
        <v>33.64</v>
      </c>
      <c r="K29" s="3">
        <v>29.48</v>
      </c>
      <c r="L29" s="3">
        <v>32.6</v>
      </c>
      <c r="M29" s="3">
        <v>34.79</v>
      </c>
      <c r="N29" s="3">
        <v>33.840000000000003</v>
      </c>
      <c r="O29" s="3">
        <v>29.54</v>
      </c>
      <c r="P29" s="3">
        <v>30.34</v>
      </c>
      <c r="Q29" s="3">
        <v>33.05466666666667</v>
      </c>
      <c r="R29" s="3">
        <v>1.9042616366855629</v>
      </c>
      <c r="T29" s="3">
        <v>21.58</v>
      </c>
      <c r="U29" s="3">
        <v>24.11</v>
      </c>
      <c r="V29" s="3">
        <v>24.21</v>
      </c>
      <c r="W29" s="3">
        <v>22.86</v>
      </c>
      <c r="X29" s="3">
        <v>23.29</v>
      </c>
      <c r="Y29" s="3">
        <v>24.62</v>
      </c>
      <c r="Z29" s="3">
        <v>22.19</v>
      </c>
      <c r="AA29" s="3">
        <v>23.53</v>
      </c>
      <c r="AB29" s="3">
        <v>20.62</v>
      </c>
      <c r="AC29" s="3">
        <v>23.28</v>
      </c>
      <c r="AD29" s="3">
        <v>23.83</v>
      </c>
      <c r="AE29" s="3">
        <v>22.95</v>
      </c>
      <c r="AF29" s="3">
        <v>21.52</v>
      </c>
      <c r="AG29" s="3">
        <v>22.69</v>
      </c>
      <c r="AH29" s="3">
        <f t="shared" si="0"/>
        <v>22.948571428571427</v>
      </c>
      <c r="AI29" s="3">
        <f t="shared" si="1"/>
        <v>1.1456060347314809</v>
      </c>
      <c r="AK29" s="7">
        <v>42422</v>
      </c>
      <c r="AL29" s="8">
        <v>32.65</v>
      </c>
      <c r="AM29" s="8">
        <v>30.37</v>
      </c>
      <c r="AN29" s="8">
        <v>31.75</v>
      </c>
      <c r="AO29" s="8">
        <v>32.450000000000003</v>
      </c>
      <c r="AP29" s="8">
        <v>31.25</v>
      </c>
      <c r="AQ29" s="8">
        <v>29.68</v>
      </c>
      <c r="AR29" s="8">
        <v>32.32</v>
      </c>
      <c r="AS29" s="8">
        <v>29.32</v>
      </c>
      <c r="AT29" s="8">
        <v>29.15</v>
      </c>
      <c r="AU29" s="8">
        <v>28.45</v>
      </c>
      <c r="AV29" s="8">
        <v>28.94</v>
      </c>
      <c r="AW29" s="8">
        <v>29.42</v>
      </c>
      <c r="AX29" s="8">
        <v>26.53</v>
      </c>
      <c r="AY29" s="8">
        <v>27.8</v>
      </c>
      <c r="AZ29" s="8">
        <v>27.4</v>
      </c>
      <c r="BA29" s="8">
        <f t="shared" si="2"/>
        <v>29.831999999999997</v>
      </c>
      <c r="BB29" s="8">
        <f t="shared" si="3"/>
        <v>1.9186423771585397</v>
      </c>
      <c r="BD29" s="11">
        <v>42422</v>
      </c>
      <c r="BE29" s="12">
        <v>34.92</v>
      </c>
      <c r="BF29" s="12">
        <v>32.520000000000003</v>
      </c>
      <c r="BG29" s="12">
        <v>36.4</v>
      </c>
      <c r="BH29" s="12">
        <v>33.700000000000003</v>
      </c>
      <c r="BI29" s="12">
        <v>34.9</v>
      </c>
      <c r="BJ29" s="12">
        <v>45.81</v>
      </c>
      <c r="BK29" s="12">
        <v>37.24</v>
      </c>
      <c r="BL29" s="12">
        <v>35.332000000000001</v>
      </c>
      <c r="BM29" s="12">
        <v>33.76</v>
      </c>
      <c r="BN29" s="12">
        <v>34.6</v>
      </c>
      <c r="BO29" s="12">
        <v>36.1</v>
      </c>
      <c r="BP29" s="12">
        <v>34.4</v>
      </c>
      <c r="BQ29" s="12">
        <v>34.270000000000003</v>
      </c>
      <c r="BR29" s="12">
        <v>34.11</v>
      </c>
      <c r="BS29" s="12">
        <v>36.119999999999997</v>
      </c>
      <c r="BT29" s="13">
        <f t="shared" si="4"/>
        <v>35.612133333333333</v>
      </c>
      <c r="BU29" s="13">
        <f t="shared" si="5"/>
        <v>3.0709132626413704</v>
      </c>
    </row>
    <row r="30" spans="1:73">
      <c r="A30" s="2">
        <v>42429</v>
      </c>
      <c r="B30" s="3">
        <v>32.979999999999997</v>
      </c>
      <c r="C30" s="3">
        <v>30.78</v>
      </c>
      <c r="D30" s="3">
        <v>34.83</v>
      </c>
      <c r="E30" s="3">
        <v>24.97</v>
      </c>
      <c r="F30" s="3">
        <v>36.54</v>
      </c>
      <c r="G30" s="3">
        <v>33.840000000000003</v>
      </c>
      <c r="H30" s="3">
        <v>33.81</v>
      </c>
      <c r="I30" s="3">
        <v>33.96</v>
      </c>
      <c r="J30" s="3">
        <v>33.96</v>
      </c>
      <c r="K30" s="3">
        <v>31.23</v>
      </c>
      <c r="L30" s="3">
        <v>35.71</v>
      </c>
      <c r="M30" s="3">
        <v>32.85</v>
      </c>
      <c r="N30" s="3">
        <v>34.85</v>
      </c>
      <c r="O30" s="3">
        <v>29.41</v>
      </c>
      <c r="P30" s="3">
        <v>31.37</v>
      </c>
      <c r="Q30" s="3">
        <v>32.739333333333335</v>
      </c>
      <c r="R30" s="3">
        <v>2.8901667442422432</v>
      </c>
      <c r="T30" s="3">
        <v>20.64</v>
      </c>
      <c r="U30" s="3">
        <v>24.29</v>
      </c>
      <c r="V30" s="3">
        <v>25.9</v>
      </c>
      <c r="W30" s="3">
        <v>26.49</v>
      </c>
      <c r="X30" s="3">
        <v>22.53</v>
      </c>
      <c r="Y30" s="3">
        <v>21.29</v>
      </c>
      <c r="Z30" s="3">
        <v>21.59</v>
      </c>
      <c r="AA30" s="3">
        <v>23.22</v>
      </c>
      <c r="AB30" s="3">
        <v>20.58</v>
      </c>
      <c r="AC30" s="3">
        <v>23.62</v>
      </c>
      <c r="AD30" s="3">
        <v>22.48</v>
      </c>
      <c r="AE30" s="3">
        <v>23.64</v>
      </c>
      <c r="AF30" s="3">
        <v>23.19</v>
      </c>
      <c r="AG30" s="3">
        <v>22.59</v>
      </c>
      <c r="AH30" s="3">
        <f t="shared" si="0"/>
        <v>23.003571428571426</v>
      </c>
      <c r="AI30" s="3">
        <f t="shared" si="1"/>
        <v>1.7569668231308231</v>
      </c>
      <c r="AK30" s="7">
        <v>42429</v>
      </c>
      <c r="AL30" s="8">
        <v>30.02</v>
      </c>
      <c r="AM30" s="8">
        <v>30.92</v>
      </c>
      <c r="AN30" s="8">
        <v>32.33</v>
      </c>
      <c r="AO30" s="8">
        <v>31.32</v>
      </c>
      <c r="AP30" s="8">
        <v>32.54</v>
      </c>
      <c r="AQ30" s="8">
        <v>29.45</v>
      </c>
      <c r="AR30" s="8">
        <v>30.12</v>
      </c>
      <c r="AS30" s="8">
        <v>29.76</v>
      </c>
      <c r="AT30" s="8">
        <v>29.02</v>
      </c>
      <c r="AU30" s="8">
        <v>28.16</v>
      </c>
      <c r="AV30" s="8">
        <v>28.12</v>
      </c>
      <c r="AW30" s="8">
        <v>29.21</v>
      </c>
      <c r="AX30" s="8">
        <v>30.34</v>
      </c>
      <c r="AY30" s="8">
        <v>27.11</v>
      </c>
      <c r="AZ30" s="8">
        <v>27.28</v>
      </c>
      <c r="BA30" s="8">
        <f t="shared" si="2"/>
        <v>29.713333333333328</v>
      </c>
      <c r="BB30" s="8">
        <f t="shared" si="3"/>
        <v>1.6471215874395924</v>
      </c>
      <c r="BD30" s="11">
        <v>42429</v>
      </c>
      <c r="BE30" s="12">
        <v>35.11</v>
      </c>
      <c r="BF30" s="12">
        <v>33.43</v>
      </c>
      <c r="BG30" s="12">
        <v>37.130000000000003</v>
      </c>
      <c r="BH30" s="12">
        <v>32.51</v>
      </c>
      <c r="BI30" s="12">
        <v>35.340000000000003</v>
      </c>
      <c r="BJ30" s="12">
        <v>45.72</v>
      </c>
      <c r="BK30" s="12">
        <v>39.950000000000003</v>
      </c>
      <c r="BL30" s="12">
        <v>36.94</v>
      </c>
      <c r="BM30" s="12">
        <v>33.22</v>
      </c>
      <c r="BN30" s="12">
        <v>33.49</v>
      </c>
      <c r="BO30" s="12">
        <v>35.22</v>
      </c>
      <c r="BP30" s="12">
        <v>35.270000000000003</v>
      </c>
      <c r="BQ30" s="12">
        <v>35.409999999999997</v>
      </c>
      <c r="BR30" s="12">
        <v>36.43</v>
      </c>
      <c r="BS30" s="12">
        <v>37.54</v>
      </c>
      <c r="BT30" s="13">
        <f t="shared" si="4"/>
        <v>36.180666666666667</v>
      </c>
      <c r="BU30" s="13">
        <f t="shared" si="5"/>
        <v>3.2715100634474741</v>
      </c>
    </row>
    <row r="31" spans="1:73">
      <c r="A31" s="2">
        <v>42436</v>
      </c>
      <c r="B31" s="3">
        <v>32.880000000000003</v>
      </c>
      <c r="C31" s="3">
        <v>29.72</v>
      </c>
      <c r="D31" s="3">
        <v>33.979999999999997</v>
      </c>
      <c r="E31" s="3">
        <v>35.880000000000003</v>
      </c>
      <c r="F31" s="3">
        <v>36.72</v>
      </c>
      <c r="G31" s="3">
        <v>34.11</v>
      </c>
      <c r="H31" s="3">
        <v>33.94</v>
      </c>
      <c r="I31" s="3">
        <v>34.729999999999997</v>
      </c>
      <c r="J31" s="3">
        <v>33.119999999999997</v>
      </c>
      <c r="K31" s="3">
        <v>34.83</v>
      </c>
      <c r="L31" s="3">
        <v>35.47</v>
      </c>
      <c r="M31" s="3">
        <v>32.159999999999997</v>
      </c>
      <c r="N31" s="3">
        <v>35.6</v>
      </c>
      <c r="O31" s="3">
        <v>30.34</v>
      </c>
      <c r="P31" s="3">
        <v>31.2</v>
      </c>
      <c r="Q31" s="3">
        <v>33.645333333333333</v>
      </c>
      <c r="R31" s="3">
        <v>2.0697338223158304</v>
      </c>
      <c r="T31" s="3">
        <v>22.29</v>
      </c>
      <c r="U31" s="3">
        <v>22.41</v>
      </c>
      <c r="V31" s="3">
        <v>22.59</v>
      </c>
      <c r="W31" s="3">
        <v>24.96</v>
      </c>
      <c r="X31" s="3">
        <v>23.84</v>
      </c>
      <c r="Y31" s="3">
        <v>22.76</v>
      </c>
      <c r="Z31" s="3">
        <v>23.65</v>
      </c>
      <c r="AA31" s="3">
        <v>22.45</v>
      </c>
      <c r="AB31" s="3">
        <v>22.65</v>
      </c>
      <c r="AC31" s="3">
        <v>24.29</v>
      </c>
      <c r="AD31" s="3">
        <v>21.63</v>
      </c>
      <c r="AE31" s="3">
        <v>24.06</v>
      </c>
      <c r="AF31" s="3">
        <v>25.81</v>
      </c>
      <c r="AG31" s="3">
        <v>21.2</v>
      </c>
      <c r="AH31" s="3">
        <f t="shared" si="0"/>
        <v>23.184999999999999</v>
      </c>
      <c r="AI31" s="3">
        <f t="shared" si="1"/>
        <v>1.2947868847509527</v>
      </c>
      <c r="AK31" s="7">
        <v>42436</v>
      </c>
      <c r="AL31" s="8">
        <v>31.24</v>
      </c>
      <c r="AM31" s="8">
        <v>31.3</v>
      </c>
      <c r="AN31" s="8">
        <v>31.91</v>
      </c>
      <c r="AO31" s="8">
        <v>31.44</v>
      </c>
      <c r="AP31" s="8">
        <v>30.76</v>
      </c>
      <c r="AQ31" s="8">
        <v>29.52</v>
      </c>
      <c r="AR31" s="8">
        <v>29.42</v>
      </c>
      <c r="AS31" s="8">
        <v>29.3</v>
      </c>
      <c r="AT31" s="8">
        <v>29.35</v>
      </c>
      <c r="AU31" s="8">
        <v>28.22</v>
      </c>
      <c r="AV31" s="8">
        <v>28.36</v>
      </c>
      <c r="AW31" s="8">
        <v>29.34</v>
      </c>
      <c r="AX31" s="8">
        <v>29.9</v>
      </c>
      <c r="AY31" s="8">
        <v>27.4</v>
      </c>
      <c r="AZ31" s="8">
        <v>27.38</v>
      </c>
      <c r="BA31" s="8">
        <f t="shared" si="2"/>
        <v>29.655999999999999</v>
      </c>
      <c r="BB31" s="8">
        <f t="shared" si="3"/>
        <v>1.4431899191919073</v>
      </c>
      <c r="BD31" s="11">
        <v>42436</v>
      </c>
      <c r="BE31" s="12">
        <v>35.85</v>
      </c>
      <c r="BF31" s="12">
        <v>35.61</v>
      </c>
      <c r="BG31" s="12">
        <v>38.33</v>
      </c>
      <c r="BH31" s="12">
        <v>31.75</v>
      </c>
      <c r="BI31" s="12">
        <v>35.799999999999997</v>
      </c>
      <c r="BJ31" s="12">
        <v>45.6</v>
      </c>
      <c r="BK31" s="12">
        <v>42.75</v>
      </c>
      <c r="BL31" s="12">
        <v>36.76</v>
      </c>
      <c r="BM31" s="12">
        <v>34.69</v>
      </c>
      <c r="BN31" s="12">
        <v>33.54</v>
      </c>
      <c r="BO31" s="12">
        <v>34.29</v>
      </c>
      <c r="BP31" s="12">
        <v>36.880000000000003</v>
      </c>
      <c r="BQ31" s="12">
        <v>35.840000000000003</v>
      </c>
      <c r="BR31" s="12">
        <v>35.96</v>
      </c>
      <c r="BS31" s="12">
        <v>36.049999999999997</v>
      </c>
      <c r="BT31" s="13">
        <f t="shared" si="4"/>
        <v>36.646666666666668</v>
      </c>
      <c r="BU31" s="13">
        <f t="shared" si="5"/>
        <v>3.4561470427272596</v>
      </c>
    </row>
    <row r="32" spans="1:73">
      <c r="A32" s="2">
        <v>42443</v>
      </c>
      <c r="B32" s="3">
        <v>30.55</v>
      </c>
      <c r="C32" s="3">
        <v>33.799999999999997</v>
      </c>
      <c r="D32" s="3">
        <v>33.74</v>
      </c>
      <c r="E32" s="3">
        <v>35.76</v>
      </c>
      <c r="F32" s="3">
        <v>35.869999999999997</v>
      </c>
      <c r="G32" s="3">
        <v>35.299999999999997</v>
      </c>
      <c r="H32" s="3">
        <v>34.9</v>
      </c>
      <c r="I32" s="3">
        <v>34.79</v>
      </c>
      <c r="J32" s="3">
        <v>33.75</v>
      </c>
      <c r="K32" s="3">
        <v>33.979999999999997</v>
      </c>
      <c r="L32" s="3">
        <v>34.83</v>
      </c>
      <c r="M32" s="3">
        <v>32.15</v>
      </c>
      <c r="N32" s="3">
        <v>34.549999999999997</v>
      </c>
      <c r="O32" s="3">
        <v>31.37</v>
      </c>
      <c r="P32" s="3">
        <v>32.22</v>
      </c>
      <c r="Q32" s="3">
        <v>33.837333333333326</v>
      </c>
      <c r="R32" s="3">
        <v>1.6012025242952623</v>
      </c>
      <c r="T32" s="3">
        <v>23.11</v>
      </c>
      <c r="U32" s="3">
        <v>22.19</v>
      </c>
      <c r="V32" s="3">
        <v>22.42</v>
      </c>
      <c r="W32" s="3">
        <v>24.23</v>
      </c>
      <c r="X32" s="3">
        <v>24.14</v>
      </c>
      <c r="Y32" s="3">
        <v>22.26</v>
      </c>
      <c r="Z32" s="3">
        <v>22.75</v>
      </c>
      <c r="AA32" s="3">
        <v>22.29</v>
      </c>
      <c r="AB32" s="3">
        <v>22.43</v>
      </c>
      <c r="AC32" s="3">
        <v>21.52</v>
      </c>
      <c r="AD32" s="3">
        <v>20.92</v>
      </c>
      <c r="AE32" s="3">
        <v>22.36</v>
      </c>
      <c r="AF32" s="3">
        <v>22.74</v>
      </c>
      <c r="AG32" s="3">
        <v>22.49</v>
      </c>
      <c r="AH32" s="3">
        <f t="shared" si="0"/>
        <v>22.560714285714287</v>
      </c>
      <c r="AI32" s="3">
        <f t="shared" si="1"/>
        <v>0.8686281339933879</v>
      </c>
      <c r="AK32" s="7">
        <v>42443</v>
      </c>
      <c r="AL32" s="8">
        <v>31.36</v>
      </c>
      <c r="AM32" s="8">
        <v>31.92</v>
      </c>
      <c r="AN32" s="8">
        <v>31.26</v>
      </c>
      <c r="AO32" s="8">
        <v>29.11</v>
      </c>
      <c r="AP32" s="8">
        <v>30.81</v>
      </c>
      <c r="AQ32" s="8">
        <v>28.38</v>
      </c>
      <c r="AR32" s="8">
        <v>29.19</v>
      </c>
      <c r="AS32" s="8">
        <v>28.32</v>
      </c>
      <c r="AT32" s="8">
        <v>29.82</v>
      </c>
      <c r="AU32" s="8">
        <v>28.11</v>
      </c>
      <c r="AV32" s="8">
        <v>28.9</v>
      </c>
      <c r="AW32" s="8">
        <v>29.12</v>
      </c>
      <c r="AX32" s="8">
        <v>29.32</v>
      </c>
      <c r="AY32" s="8">
        <v>28.48</v>
      </c>
      <c r="AZ32" s="8">
        <v>26.21</v>
      </c>
      <c r="BA32" s="8">
        <f t="shared" si="2"/>
        <v>29.353999999999999</v>
      </c>
      <c r="BB32" s="8">
        <f t="shared" si="3"/>
        <v>1.4914221401065495</v>
      </c>
      <c r="BD32" s="11">
        <v>42443</v>
      </c>
      <c r="BE32" s="12">
        <v>34.630000000000003</v>
      </c>
      <c r="BF32" s="12">
        <v>34.44</v>
      </c>
      <c r="BG32" s="12">
        <v>38.83</v>
      </c>
      <c r="BH32" s="12">
        <v>33.840000000000003</v>
      </c>
      <c r="BI32" s="12">
        <v>34.72</v>
      </c>
      <c r="BJ32" s="12">
        <v>45.67</v>
      </c>
      <c r="BK32" s="12">
        <v>45.65</v>
      </c>
      <c r="BL32" s="12">
        <v>37.450000000000003</v>
      </c>
      <c r="BM32" s="12">
        <v>34.75</v>
      </c>
      <c r="BN32" s="12">
        <v>35.6</v>
      </c>
      <c r="BO32" s="12">
        <v>35.43</v>
      </c>
      <c r="BP32" s="12">
        <v>35.92</v>
      </c>
      <c r="BQ32" s="12">
        <v>34.65</v>
      </c>
      <c r="BR32" s="12">
        <v>34.32</v>
      </c>
      <c r="BS32" s="12">
        <v>36.32</v>
      </c>
      <c r="BT32" s="13">
        <f t="shared" si="4"/>
        <v>36.814666666666668</v>
      </c>
      <c r="BU32" s="13">
        <f t="shared" si="5"/>
        <v>3.8191544813454392</v>
      </c>
    </row>
    <row r="33" spans="1:73">
      <c r="A33" s="2">
        <v>42450</v>
      </c>
      <c r="B33" s="3">
        <v>30.86</v>
      </c>
      <c r="C33" s="3">
        <v>34.79</v>
      </c>
      <c r="D33" s="3">
        <v>33.97</v>
      </c>
      <c r="E33" s="3">
        <v>35.42</v>
      </c>
      <c r="F33" s="3">
        <v>35.43</v>
      </c>
      <c r="G33" s="3">
        <v>34.22</v>
      </c>
      <c r="H33" s="3">
        <v>34.590000000000003</v>
      </c>
      <c r="I33" s="3">
        <v>34.65</v>
      </c>
      <c r="J33" s="3">
        <v>30.94</v>
      </c>
      <c r="K33" s="3">
        <v>33.74</v>
      </c>
      <c r="L33" s="3">
        <v>34.840000000000003</v>
      </c>
      <c r="M33" s="3">
        <v>33.76</v>
      </c>
      <c r="N33" s="3">
        <v>34.229999999999997</v>
      </c>
      <c r="O33" s="3">
        <v>31.2</v>
      </c>
      <c r="P33" s="3">
        <v>31.83</v>
      </c>
      <c r="Q33" s="3">
        <v>33.631333333333338</v>
      </c>
      <c r="R33" s="3">
        <v>1.6062906100110044</v>
      </c>
      <c r="T33" s="3">
        <v>22.29</v>
      </c>
      <c r="U33" s="3">
        <v>23.21</v>
      </c>
      <c r="V33" s="3">
        <v>20.86</v>
      </c>
      <c r="W33" s="3">
        <v>21.28</v>
      </c>
      <c r="X33" s="3">
        <v>24.53</v>
      </c>
      <c r="Y33" s="3">
        <v>22.67</v>
      </c>
      <c r="Z33" s="3">
        <v>22.96</v>
      </c>
      <c r="AA33" s="3">
        <v>24.21</v>
      </c>
      <c r="AB33" s="3">
        <v>21.29</v>
      </c>
      <c r="AC33" s="3">
        <v>21.21</v>
      </c>
      <c r="AD33" s="3">
        <v>22.74</v>
      </c>
      <c r="AE33" s="3">
        <v>22.19</v>
      </c>
      <c r="AF33" s="3">
        <v>23.68</v>
      </c>
      <c r="AG33" s="3">
        <v>23.28</v>
      </c>
      <c r="AH33" s="3">
        <f t="shared" si="0"/>
        <v>22.600000000000005</v>
      </c>
      <c r="AI33" s="3">
        <f t="shared" si="1"/>
        <v>1.1487250457656224</v>
      </c>
      <c r="AK33" s="7">
        <v>42450</v>
      </c>
      <c r="AL33" s="8">
        <v>28.47</v>
      </c>
      <c r="AM33" s="8">
        <v>30.65</v>
      </c>
      <c r="AN33" s="8">
        <v>31.3</v>
      </c>
      <c r="AO33" s="8">
        <v>29.52</v>
      </c>
      <c r="AP33" s="8">
        <v>32.56</v>
      </c>
      <c r="AQ33" s="8">
        <v>28.41</v>
      </c>
      <c r="AR33" s="8">
        <v>28.85</v>
      </c>
      <c r="AS33" s="8">
        <v>28.69</v>
      </c>
      <c r="AT33" s="8">
        <v>28.8</v>
      </c>
      <c r="AU33" s="8">
        <v>27.45</v>
      </c>
      <c r="AV33" s="8">
        <v>27.32</v>
      </c>
      <c r="AW33" s="8">
        <v>29.74</v>
      </c>
      <c r="AX33" s="8">
        <v>28.72</v>
      </c>
      <c r="AY33" s="8">
        <v>28.67</v>
      </c>
      <c r="AZ33" s="8">
        <v>26.22</v>
      </c>
      <c r="BA33" s="8">
        <f t="shared" si="2"/>
        <v>29.024666666666668</v>
      </c>
      <c r="BB33" s="8">
        <f t="shared" si="3"/>
        <v>1.5906686225190549</v>
      </c>
      <c r="BD33" s="11">
        <v>42450</v>
      </c>
      <c r="BE33" s="12">
        <v>35.270000000000003</v>
      </c>
      <c r="BF33" s="12">
        <v>38.5</v>
      </c>
      <c r="BG33" s="12">
        <v>39.24</v>
      </c>
      <c r="BH33" s="12">
        <v>36.22</v>
      </c>
      <c r="BI33" s="12">
        <v>34.880000000000003</v>
      </c>
      <c r="BJ33" s="12">
        <v>46.98</v>
      </c>
      <c r="BK33" s="12">
        <v>48.4</v>
      </c>
      <c r="BL33" s="12">
        <v>39.24</v>
      </c>
      <c r="BM33" s="12">
        <v>36.869999999999997</v>
      </c>
      <c r="BN33" s="12">
        <v>36.590000000000003</v>
      </c>
      <c r="BO33" s="12">
        <v>36.17</v>
      </c>
      <c r="BP33" s="12">
        <v>36.450000000000003</v>
      </c>
      <c r="BQ33" s="12">
        <v>35.18</v>
      </c>
      <c r="BR33" s="12">
        <v>34.65</v>
      </c>
      <c r="BS33" s="12">
        <v>38.54</v>
      </c>
      <c r="BT33" s="13">
        <f t="shared" si="4"/>
        <v>38.212000000000003</v>
      </c>
      <c r="BU33" s="13">
        <f t="shared" si="5"/>
        <v>4.1428944333297073</v>
      </c>
    </row>
    <row r="34" spans="1:73">
      <c r="A34" s="2">
        <v>42457</v>
      </c>
      <c r="B34" s="3">
        <v>32.1</v>
      </c>
      <c r="C34" s="3">
        <v>31.96</v>
      </c>
      <c r="D34" s="3">
        <v>30.64</v>
      </c>
      <c r="E34" s="3">
        <v>35.86</v>
      </c>
      <c r="F34" s="3">
        <v>36.81</v>
      </c>
      <c r="G34" s="3">
        <v>35.590000000000003</v>
      </c>
      <c r="H34" s="3">
        <v>35.83</v>
      </c>
      <c r="I34" s="3">
        <v>36.72</v>
      </c>
      <c r="J34" s="3">
        <v>31.14</v>
      </c>
      <c r="K34" s="3">
        <v>33.97</v>
      </c>
      <c r="L34" s="3">
        <v>35.409999999999997</v>
      </c>
      <c r="M34" s="3">
        <v>35.5</v>
      </c>
      <c r="N34" s="3">
        <v>33.799999999999997</v>
      </c>
      <c r="O34" s="3">
        <v>32.22</v>
      </c>
      <c r="P34" s="3">
        <v>32.11</v>
      </c>
      <c r="Q34" s="3">
        <v>33.977333333333334</v>
      </c>
      <c r="R34" s="3">
        <v>2.119361314394594</v>
      </c>
      <c r="T34" s="3">
        <v>20.38</v>
      </c>
      <c r="U34" s="3">
        <v>24.43</v>
      </c>
      <c r="V34" s="3">
        <v>20.34</v>
      </c>
      <c r="W34" s="3">
        <v>22.63</v>
      </c>
      <c r="X34" s="3">
        <v>22.64</v>
      </c>
      <c r="Y34" s="3">
        <v>24.29</v>
      </c>
      <c r="Z34" s="3">
        <v>23.42</v>
      </c>
      <c r="AA34" s="3">
        <v>22.93</v>
      </c>
      <c r="AB34" s="3">
        <v>23.13</v>
      </c>
      <c r="AC34" s="3">
        <v>23.83</v>
      </c>
      <c r="AD34" s="3">
        <v>22.53</v>
      </c>
      <c r="AE34" s="3">
        <v>23.46</v>
      </c>
      <c r="AF34" s="3">
        <v>22.93</v>
      </c>
      <c r="AG34" s="3">
        <v>22.64</v>
      </c>
      <c r="AH34" s="3">
        <f t="shared" si="0"/>
        <v>22.827142857142857</v>
      </c>
      <c r="AI34" s="3">
        <f t="shared" si="1"/>
        <v>1.2073902470995901</v>
      </c>
      <c r="AK34" s="7">
        <v>42457</v>
      </c>
      <c r="AL34" s="8">
        <v>27.45</v>
      </c>
      <c r="AM34" s="8">
        <v>27.1</v>
      </c>
      <c r="AN34" s="8">
        <v>30.45</v>
      </c>
      <c r="AO34" s="8">
        <v>28.62</v>
      </c>
      <c r="AP34" s="8">
        <v>30.81</v>
      </c>
      <c r="AQ34" s="8">
        <v>29.68</v>
      </c>
      <c r="AR34" s="8">
        <v>28.65</v>
      </c>
      <c r="AS34" s="8">
        <v>28.93</v>
      </c>
      <c r="AT34" s="8">
        <v>28.11</v>
      </c>
      <c r="AU34" s="8">
        <v>27.6</v>
      </c>
      <c r="AV34" s="8">
        <v>27.25</v>
      </c>
      <c r="AW34" s="8">
        <v>28.21</v>
      </c>
      <c r="AX34" s="8">
        <v>28.25</v>
      </c>
      <c r="AY34" s="8">
        <v>28.67</v>
      </c>
      <c r="AZ34" s="8">
        <v>26.56</v>
      </c>
      <c r="BA34" s="8">
        <f t="shared" si="2"/>
        <v>28.422666666666668</v>
      </c>
      <c r="BB34" s="8">
        <f t="shared" si="3"/>
        <v>1.2008715089269044</v>
      </c>
      <c r="BD34" s="11">
        <v>42457</v>
      </c>
      <c r="BE34" s="12">
        <v>35.32</v>
      </c>
      <c r="BF34" s="12">
        <v>41.21</v>
      </c>
      <c r="BG34" s="12">
        <v>37.229999999999997</v>
      </c>
      <c r="BH34" s="12">
        <v>36.11</v>
      </c>
      <c r="BI34" s="12">
        <v>37.42</v>
      </c>
      <c r="BJ34" s="12">
        <v>47.02</v>
      </c>
      <c r="BK34" s="12">
        <v>47.19</v>
      </c>
      <c r="BL34" s="12">
        <v>37.229999999999997</v>
      </c>
      <c r="BM34" s="12">
        <v>39.229999999999997</v>
      </c>
      <c r="BN34" s="12">
        <v>36.5</v>
      </c>
      <c r="BO34" s="12">
        <v>34.840000000000003</v>
      </c>
      <c r="BP34" s="12">
        <v>36.130000000000003</v>
      </c>
      <c r="BQ34" s="12">
        <v>37.729999999999997</v>
      </c>
      <c r="BR34" s="12">
        <v>36.39</v>
      </c>
      <c r="BS34" s="12">
        <v>36.76</v>
      </c>
      <c r="BT34" s="13">
        <f t="shared" si="4"/>
        <v>38.420666666666669</v>
      </c>
      <c r="BU34" s="13">
        <f t="shared" si="5"/>
        <v>3.8469922697881165</v>
      </c>
    </row>
    <row r="35" spans="1:73">
      <c r="A35" s="2">
        <v>42464</v>
      </c>
      <c r="B35" s="3">
        <v>33.67</v>
      </c>
      <c r="C35" s="3">
        <v>31.91</v>
      </c>
      <c r="D35" s="3">
        <v>29.54</v>
      </c>
      <c r="E35" s="3">
        <v>35.22</v>
      </c>
      <c r="F35" s="3">
        <v>36.31</v>
      </c>
      <c r="G35" s="3">
        <v>35.869999999999997</v>
      </c>
      <c r="H35" s="3">
        <v>35.119999999999997</v>
      </c>
      <c r="I35" s="3">
        <v>38.54</v>
      </c>
      <c r="J35" s="3">
        <v>34.21</v>
      </c>
      <c r="K35" s="3">
        <v>29.54</v>
      </c>
      <c r="L35" s="3">
        <v>35.770000000000003</v>
      </c>
      <c r="M35" s="3">
        <v>35.880000000000003</v>
      </c>
      <c r="N35" s="3">
        <v>33.76</v>
      </c>
      <c r="O35" s="3">
        <v>32.83</v>
      </c>
      <c r="P35" s="3">
        <v>32.450000000000003</v>
      </c>
      <c r="Q35" s="3">
        <v>34.041333333333327</v>
      </c>
      <c r="R35" s="3">
        <v>2.492307785013339</v>
      </c>
      <c r="T35" s="3">
        <v>23.12</v>
      </c>
      <c r="U35" s="3">
        <v>21.58</v>
      </c>
      <c r="V35" s="3">
        <v>21.28</v>
      </c>
      <c r="W35" s="3">
        <v>22.19</v>
      </c>
      <c r="X35" s="3">
        <v>23.78</v>
      </c>
      <c r="Y35" s="3">
        <v>25.48</v>
      </c>
      <c r="Z35" s="3">
        <v>22.14</v>
      </c>
      <c r="AA35" s="3">
        <v>25.12</v>
      </c>
      <c r="AB35" s="3">
        <v>23.18</v>
      </c>
      <c r="AC35" s="3">
        <v>22.29</v>
      </c>
      <c r="AD35" s="3">
        <v>24.58</v>
      </c>
      <c r="AE35" s="3">
        <v>23.39</v>
      </c>
      <c r="AF35" s="3">
        <v>29.59</v>
      </c>
      <c r="AG35" s="3">
        <v>22.83</v>
      </c>
      <c r="AH35" s="3">
        <f t="shared" si="0"/>
        <v>23.610714285714284</v>
      </c>
      <c r="AI35" s="3">
        <f t="shared" si="1"/>
        <v>2.1314222925105644</v>
      </c>
      <c r="AK35" s="7">
        <v>42464</v>
      </c>
      <c r="AL35" s="8">
        <v>28.64</v>
      </c>
      <c r="AM35" s="8">
        <v>30.21</v>
      </c>
      <c r="AN35" s="8">
        <v>32.83</v>
      </c>
      <c r="AO35" s="8">
        <v>28.54</v>
      </c>
      <c r="AP35" s="8">
        <v>28.92</v>
      </c>
      <c r="AQ35" s="8">
        <v>29.88</v>
      </c>
      <c r="AR35" s="8">
        <v>28.47</v>
      </c>
      <c r="AS35" s="8">
        <v>28.89</v>
      </c>
      <c r="AT35" s="8">
        <v>28.94</v>
      </c>
      <c r="AU35" s="8">
        <v>27.43</v>
      </c>
      <c r="AV35" s="8">
        <v>26.73</v>
      </c>
      <c r="AW35" s="8">
        <v>28.41</v>
      </c>
      <c r="AX35" s="8">
        <v>28.74</v>
      </c>
      <c r="AY35" s="8">
        <v>28.83</v>
      </c>
      <c r="AZ35" s="8">
        <v>26.39</v>
      </c>
      <c r="BA35" s="8">
        <f t="shared" si="2"/>
        <v>28.790000000000003</v>
      </c>
      <c r="BB35" s="8">
        <f t="shared" si="3"/>
        <v>1.5062868252759827</v>
      </c>
      <c r="BD35" s="11">
        <v>42464</v>
      </c>
      <c r="BE35" s="12">
        <v>35.93</v>
      </c>
      <c r="BF35" s="12">
        <v>41.34</v>
      </c>
      <c r="BG35" s="12">
        <v>36.549999999999997</v>
      </c>
      <c r="BH35" s="12">
        <v>36.31</v>
      </c>
      <c r="BI35" s="12">
        <v>37.979999999999997</v>
      </c>
      <c r="BJ35" s="12">
        <v>47.72</v>
      </c>
      <c r="BK35" s="12">
        <v>47.55</v>
      </c>
      <c r="BL35" s="12">
        <v>36.549999999999997</v>
      </c>
      <c r="BM35" s="12">
        <v>41.23</v>
      </c>
      <c r="BN35" s="12">
        <v>36.950000000000003</v>
      </c>
      <c r="BO35" s="12">
        <v>34.840000000000003</v>
      </c>
      <c r="BP35" s="12">
        <v>36.340000000000003</v>
      </c>
      <c r="BQ35" s="12">
        <v>36.97</v>
      </c>
      <c r="BR35" s="12">
        <v>36.049999999999997</v>
      </c>
      <c r="BS35" s="12">
        <v>36.880000000000003</v>
      </c>
      <c r="BT35" s="13">
        <f t="shared" si="4"/>
        <v>38.612666666666669</v>
      </c>
      <c r="BU35" s="13">
        <f t="shared" si="5"/>
        <v>4.0791008579739527</v>
      </c>
    </row>
    <row r="36" spans="1:73">
      <c r="A36" s="2">
        <v>42471</v>
      </c>
      <c r="B36" s="3">
        <v>32.869999999999997</v>
      </c>
      <c r="C36" s="3">
        <v>33.64</v>
      </c>
      <c r="D36" s="3">
        <v>29.41</v>
      </c>
      <c r="E36" s="3">
        <v>35.36</v>
      </c>
      <c r="F36" s="3">
        <v>33.94</v>
      </c>
      <c r="G36" s="3">
        <v>34.43</v>
      </c>
      <c r="H36" s="3">
        <v>35.44</v>
      </c>
      <c r="I36" s="3">
        <v>39.22</v>
      </c>
      <c r="J36" s="3">
        <v>34.619999999999997</v>
      </c>
      <c r="K36" s="3">
        <v>29.54</v>
      </c>
      <c r="L36" s="3">
        <v>33.28</v>
      </c>
      <c r="M36" s="3">
        <v>35.19</v>
      </c>
      <c r="N36" s="3">
        <v>36.1</v>
      </c>
      <c r="O36" s="3">
        <v>32.11</v>
      </c>
      <c r="P36" s="3">
        <v>34.619999999999997</v>
      </c>
      <c r="Q36" s="3">
        <v>33.984666666666669</v>
      </c>
      <c r="R36" s="3">
        <v>2.455433818716203</v>
      </c>
      <c r="T36" s="3">
        <v>23.68</v>
      </c>
      <c r="U36" s="3">
        <v>22.53</v>
      </c>
      <c r="V36" s="3">
        <v>22.49</v>
      </c>
      <c r="W36" s="3">
        <v>23.29</v>
      </c>
      <c r="X36" s="3">
        <v>22.75</v>
      </c>
      <c r="Y36" s="3">
        <v>23.23</v>
      </c>
      <c r="Z36" s="3">
        <v>23.69</v>
      </c>
      <c r="AA36" s="3">
        <v>22.2</v>
      </c>
      <c r="AB36" s="3">
        <v>23.44</v>
      </c>
      <c r="AC36" s="3">
        <v>23.55</v>
      </c>
      <c r="AD36" s="3">
        <v>22.29</v>
      </c>
      <c r="AE36" s="3">
        <v>22.63</v>
      </c>
      <c r="AF36" s="3">
        <v>23.61</v>
      </c>
      <c r="AG36" s="3">
        <v>23.49</v>
      </c>
      <c r="AH36" s="3">
        <f t="shared" si="0"/>
        <v>23.062142857142856</v>
      </c>
      <c r="AI36" s="3">
        <f t="shared" si="1"/>
        <v>0.55151788549599945</v>
      </c>
      <c r="AK36" s="7">
        <v>42471</v>
      </c>
      <c r="AL36" s="8">
        <v>29.36</v>
      </c>
      <c r="AM36" s="8">
        <v>30.74</v>
      </c>
      <c r="AN36" s="8">
        <v>31.6</v>
      </c>
      <c r="AO36" s="8">
        <v>28.66</v>
      </c>
      <c r="AP36" s="8">
        <v>28.96</v>
      </c>
      <c r="AQ36" s="8">
        <v>29.1</v>
      </c>
      <c r="AR36" s="8">
        <v>28.28</v>
      </c>
      <c r="AS36" s="8">
        <v>28.72</v>
      </c>
      <c r="AT36" s="8">
        <v>27.41</v>
      </c>
      <c r="AU36" s="8">
        <v>27.59</v>
      </c>
      <c r="AV36" s="8">
        <v>26.42</v>
      </c>
      <c r="AW36" s="8">
        <v>28.73</v>
      </c>
      <c r="AX36" s="8">
        <v>28.69</v>
      </c>
      <c r="AY36" s="8">
        <v>28.58</v>
      </c>
      <c r="AZ36" s="8">
        <v>26.9</v>
      </c>
      <c r="BA36" s="8">
        <f t="shared" si="2"/>
        <v>28.649333333333331</v>
      </c>
      <c r="BB36" s="8">
        <f t="shared" si="3"/>
        <v>1.3289279603535793</v>
      </c>
      <c r="BD36" s="11">
        <v>42471</v>
      </c>
      <c r="BE36" s="12">
        <v>33.950000000000003</v>
      </c>
      <c r="BF36" s="12">
        <v>38.89</v>
      </c>
      <c r="BG36" s="12">
        <v>35.92</v>
      </c>
      <c r="BH36" s="12">
        <v>36.89</v>
      </c>
      <c r="BI36" s="12">
        <v>39.86</v>
      </c>
      <c r="BJ36" s="12">
        <v>49.36</v>
      </c>
      <c r="BK36" s="12">
        <v>47.29</v>
      </c>
      <c r="BL36" s="12">
        <v>35.92</v>
      </c>
      <c r="BM36" s="12">
        <v>40.76</v>
      </c>
      <c r="BN36" s="12">
        <v>36.39</v>
      </c>
      <c r="BO36" s="12">
        <v>36.229999999999997</v>
      </c>
      <c r="BP36" s="12">
        <v>35.93</v>
      </c>
      <c r="BQ36" s="12">
        <v>36.31</v>
      </c>
      <c r="BR36" s="12">
        <v>38.54</v>
      </c>
      <c r="BS36" s="12">
        <v>37.450000000000003</v>
      </c>
      <c r="BT36" s="13">
        <f t="shared" si="4"/>
        <v>38.646000000000001</v>
      </c>
      <c r="BU36" s="13">
        <f t="shared" si="5"/>
        <v>4.3153443828802924</v>
      </c>
    </row>
    <row r="37" spans="1:73">
      <c r="A37" s="2">
        <v>42478</v>
      </c>
      <c r="B37" s="3">
        <v>32.119999999999997</v>
      </c>
      <c r="C37" s="3">
        <v>33.96</v>
      </c>
      <c r="D37" s="3">
        <v>30.34</v>
      </c>
      <c r="E37" s="3">
        <v>35.770000000000003</v>
      </c>
      <c r="F37" s="3">
        <v>34.32</v>
      </c>
      <c r="G37" s="3">
        <v>34.840000000000003</v>
      </c>
      <c r="H37" s="3">
        <v>35.229999999999997</v>
      </c>
      <c r="I37" s="3">
        <v>39.11</v>
      </c>
      <c r="J37" s="3">
        <v>34.94</v>
      </c>
      <c r="K37" s="3">
        <v>29.41</v>
      </c>
      <c r="L37" s="3">
        <v>33.74</v>
      </c>
      <c r="M37" s="3">
        <v>35.229999999999997</v>
      </c>
      <c r="N37" s="3">
        <v>36.549999999999997</v>
      </c>
      <c r="O37" s="3">
        <v>32.450000000000003</v>
      </c>
      <c r="P37" s="3">
        <v>36.35</v>
      </c>
      <c r="Q37" s="3">
        <v>34.290666666666667</v>
      </c>
      <c r="R37" s="3">
        <v>2.466777732377277</v>
      </c>
      <c r="T37" s="3">
        <v>23.39</v>
      </c>
      <c r="U37" s="3">
        <v>26.8</v>
      </c>
      <c r="V37" s="3">
        <v>24.21</v>
      </c>
      <c r="W37" s="3">
        <v>24.74</v>
      </c>
      <c r="X37" s="3">
        <v>24.86</v>
      </c>
      <c r="Y37" s="3">
        <v>25.95</v>
      </c>
      <c r="Z37" s="3">
        <v>22.07</v>
      </c>
      <c r="AA37" s="3">
        <v>25.63</v>
      </c>
      <c r="AB37" s="3">
        <v>23.63</v>
      </c>
      <c r="AC37" s="3">
        <v>22.79</v>
      </c>
      <c r="AD37" s="3">
        <v>23.64</v>
      </c>
      <c r="AE37" s="3">
        <v>23.59</v>
      </c>
      <c r="AF37" s="3">
        <v>24.46</v>
      </c>
      <c r="AG37" s="3">
        <v>23.69</v>
      </c>
      <c r="AH37" s="3">
        <f t="shared" si="0"/>
        <v>24.246428571428567</v>
      </c>
      <c r="AI37" s="3">
        <f t="shared" si="1"/>
        <v>1.2735148644166308</v>
      </c>
      <c r="AK37" s="7">
        <v>42478</v>
      </c>
      <c r="AL37" s="8">
        <v>29.54</v>
      </c>
      <c r="AM37" s="8">
        <v>30.82</v>
      </c>
      <c r="AN37" s="8">
        <v>30.78</v>
      </c>
      <c r="AO37" s="8">
        <v>28.81</v>
      </c>
      <c r="AP37" s="8">
        <v>27.83</v>
      </c>
      <c r="AQ37" s="8">
        <v>30.58</v>
      </c>
      <c r="AR37" s="8">
        <v>27.49</v>
      </c>
      <c r="AS37" s="8">
        <v>28.83</v>
      </c>
      <c r="AT37" s="8">
        <v>27.52</v>
      </c>
      <c r="AU37" s="8">
        <v>27.72</v>
      </c>
      <c r="AV37" s="8">
        <v>26.77</v>
      </c>
      <c r="AW37" s="8">
        <v>28.41</v>
      </c>
      <c r="AX37" s="8">
        <v>28.78</v>
      </c>
      <c r="AY37" s="8">
        <v>28.82</v>
      </c>
      <c r="AZ37" s="8">
        <v>26.83</v>
      </c>
      <c r="BA37" s="8">
        <f t="shared" si="2"/>
        <v>28.635333333333332</v>
      </c>
      <c r="BB37" s="8">
        <f t="shared" si="3"/>
        <v>1.334369121488111</v>
      </c>
      <c r="BD37" s="11">
        <v>42478</v>
      </c>
      <c r="BE37" s="12">
        <v>34.85</v>
      </c>
      <c r="BF37" s="12">
        <v>37.42</v>
      </c>
      <c r="BG37" s="12">
        <v>36.950000000000003</v>
      </c>
      <c r="BH37" s="12">
        <v>37.21</v>
      </c>
      <c r="BI37" s="12">
        <v>40.549999999999997</v>
      </c>
      <c r="BJ37" s="12">
        <v>49.36</v>
      </c>
      <c r="BK37" s="12">
        <v>48.78</v>
      </c>
      <c r="BL37" s="12">
        <v>36.950000000000003</v>
      </c>
      <c r="BM37" s="12">
        <v>40.340000000000003</v>
      </c>
      <c r="BN37" s="12">
        <v>39.65</v>
      </c>
      <c r="BO37" s="12">
        <v>39.700000000000003</v>
      </c>
      <c r="BP37" s="12">
        <v>35.229999999999997</v>
      </c>
      <c r="BQ37" s="12">
        <v>36.31</v>
      </c>
      <c r="BR37" s="12">
        <v>40.65</v>
      </c>
      <c r="BS37" s="12">
        <v>36.72</v>
      </c>
      <c r="BT37" s="13">
        <f t="shared" si="4"/>
        <v>39.378</v>
      </c>
      <c r="BU37" s="13">
        <f t="shared" si="5"/>
        <v>4.3641660960928217</v>
      </c>
    </row>
    <row r="38" spans="1:73">
      <c r="A38" s="2">
        <v>42485</v>
      </c>
      <c r="B38" s="3">
        <v>32.44</v>
      </c>
      <c r="C38" s="3">
        <v>33.119999999999997</v>
      </c>
      <c r="D38" s="3">
        <v>31.37</v>
      </c>
      <c r="E38" s="3">
        <v>35.47</v>
      </c>
      <c r="F38" s="3">
        <v>39.840000000000003</v>
      </c>
      <c r="G38" s="3">
        <v>35.33</v>
      </c>
      <c r="H38" s="3">
        <v>37.65</v>
      </c>
      <c r="I38" s="3">
        <v>36.33</v>
      </c>
      <c r="J38" s="3">
        <v>35.14</v>
      </c>
      <c r="K38" s="3">
        <v>30.34</v>
      </c>
      <c r="L38" s="3">
        <v>34.92</v>
      </c>
      <c r="M38" s="3">
        <v>34.659999999999997</v>
      </c>
      <c r="N38" s="3">
        <v>32.11</v>
      </c>
      <c r="O38" s="3">
        <v>34.619999999999997</v>
      </c>
      <c r="P38" s="3">
        <v>34.65</v>
      </c>
      <c r="Q38" s="3">
        <v>34.532666666666664</v>
      </c>
      <c r="R38" s="3">
        <v>2.4350402362960972</v>
      </c>
      <c r="T38" s="3">
        <v>23.42</v>
      </c>
      <c r="U38" s="3">
        <v>25.25</v>
      </c>
      <c r="V38" s="3">
        <v>22.16</v>
      </c>
      <c r="W38" s="3">
        <v>26.11</v>
      </c>
      <c r="X38" s="3">
        <v>24.33</v>
      </c>
      <c r="Y38" s="3">
        <v>25.73</v>
      </c>
      <c r="Z38" s="3">
        <v>24.96</v>
      </c>
      <c r="AA38" s="3">
        <v>27.23</v>
      </c>
      <c r="AB38" s="3">
        <v>24.36</v>
      </c>
      <c r="AC38" s="3">
        <v>22.59</v>
      </c>
      <c r="AD38" s="3">
        <v>22.12</v>
      </c>
      <c r="AE38" s="3">
        <v>22.61</v>
      </c>
      <c r="AF38" s="3">
        <v>26.21</v>
      </c>
      <c r="AG38" s="3">
        <v>26.44</v>
      </c>
      <c r="AH38" s="3">
        <f t="shared" si="0"/>
        <v>24.537142857142857</v>
      </c>
      <c r="AI38" s="3">
        <f t="shared" si="1"/>
        <v>1.7225983440561692</v>
      </c>
      <c r="AK38" s="7">
        <v>42485</v>
      </c>
      <c r="AL38" s="8">
        <v>28.12</v>
      </c>
      <c r="AM38" s="8">
        <v>30.61</v>
      </c>
      <c r="AN38" s="8">
        <v>30.27</v>
      </c>
      <c r="AO38" s="8">
        <v>27.68</v>
      </c>
      <c r="AP38" s="8">
        <v>27.68</v>
      </c>
      <c r="AQ38" s="8">
        <v>29.76</v>
      </c>
      <c r="AR38" s="8">
        <v>27.24</v>
      </c>
      <c r="AS38" s="8">
        <v>28.79</v>
      </c>
      <c r="AT38" s="8">
        <v>27.16</v>
      </c>
      <c r="AU38" s="8">
        <v>27.11</v>
      </c>
      <c r="AV38" s="8">
        <v>26.51</v>
      </c>
      <c r="AW38" s="8">
        <v>28.98</v>
      </c>
      <c r="AX38" s="8">
        <v>28.36</v>
      </c>
      <c r="AY38" s="8">
        <v>27.73</v>
      </c>
      <c r="AZ38" s="8">
        <v>26.56</v>
      </c>
      <c r="BA38" s="8">
        <f t="shared" si="2"/>
        <v>28.170666666666669</v>
      </c>
      <c r="BB38" s="8">
        <f t="shared" si="3"/>
        <v>1.2817647804417753</v>
      </c>
      <c r="BD38" s="11">
        <v>42485</v>
      </c>
      <c r="BE38" s="12">
        <v>36.65</v>
      </c>
      <c r="BF38" s="12">
        <v>39.229999999999997</v>
      </c>
      <c r="BG38" s="12">
        <v>34.92</v>
      </c>
      <c r="BH38" s="12">
        <v>36.65</v>
      </c>
      <c r="BI38" s="12">
        <v>41.87</v>
      </c>
      <c r="BJ38" s="12">
        <v>50.23</v>
      </c>
      <c r="BK38" s="12">
        <v>46.98</v>
      </c>
      <c r="BL38" s="12">
        <v>34.92</v>
      </c>
      <c r="BM38" s="12">
        <v>40.86</v>
      </c>
      <c r="BN38" s="12">
        <v>39.229999999999997</v>
      </c>
      <c r="BO38" s="12">
        <v>40.869999999999997</v>
      </c>
      <c r="BP38" s="12">
        <v>37.86</v>
      </c>
      <c r="BQ38" s="12">
        <v>37.94</v>
      </c>
      <c r="BR38" s="12">
        <v>40.65</v>
      </c>
      <c r="BS38" s="12">
        <v>35.65</v>
      </c>
      <c r="BT38" s="13">
        <f t="shared" si="4"/>
        <v>39.634</v>
      </c>
      <c r="BU38" s="13">
        <f t="shared" si="5"/>
        <v>4.3075445441690148</v>
      </c>
    </row>
    <row r="39" spans="1:73">
      <c r="A39" s="2">
        <v>42492</v>
      </c>
      <c r="B39" s="3">
        <v>32.619999999999997</v>
      </c>
      <c r="C39" s="3">
        <v>33.75</v>
      </c>
      <c r="D39" s="3">
        <v>31.2</v>
      </c>
      <c r="E39" s="3">
        <v>35.54</v>
      </c>
      <c r="F39" s="3">
        <v>39.020000000000003</v>
      </c>
      <c r="G39" s="3">
        <v>35.81</v>
      </c>
      <c r="H39" s="3">
        <v>37.82</v>
      </c>
      <c r="I39" s="3">
        <v>36.76</v>
      </c>
      <c r="J39" s="3">
        <v>35.479999999999997</v>
      </c>
      <c r="K39" s="3">
        <v>31.37</v>
      </c>
      <c r="L39" s="3">
        <v>35.42</v>
      </c>
      <c r="M39" s="3">
        <v>34.54</v>
      </c>
      <c r="N39" s="3">
        <v>33.06</v>
      </c>
      <c r="O39" s="3">
        <v>36.35</v>
      </c>
      <c r="P39" s="3">
        <v>35.11</v>
      </c>
      <c r="Q39" s="3">
        <v>34.923333333333339</v>
      </c>
      <c r="R39" s="3">
        <v>2.2221343236584405</v>
      </c>
      <c r="T39" s="3">
        <v>23.86</v>
      </c>
      <c r="U39" s="3">
        <v>22.69</v>
      </c>
      <c r="V39" s="3">
        <v>24.66</v>
      </c>
      <c r="W39" s="3">
        <v>24.26</v>
      </c>
      <c r="X39" s="3">
        <v>22.49</v>
      </c>
      <c r="Y39" s="3">
        <v>23.82</v>
      </c>
      <c r="Z39" s="3">
        <v>23.23</v>
      </c>
      <c r="AA39" s="3">
        <v>24.95</v>
      </c>
      <c r="AB39" s="3">
        <v>26.69</v>
      </c>
      <c r="AC39" s="3">
        <v>23.48</v>
      </c>
      <c r="AD39" s="3">
        <v>25.74</v>
      </c>
      <c r="AE39" s="3">
        <v>23.53</v>
      </c>
      <c r="AF39" s="3">
        <v>23.45</v>
      </c>
      <c r="AG39" s="3">
        <v>25.53</v>
      </c>
      <c r="AH39" s="3">
        <f t="shared" si="0"/>
        <v>24.169999999999998</v>
      </c>
      <c r="AI39" s="3">
        <f t="shared" si="1"/>
        <v>1.2102320184417281</v>
      </c>
      <c r="AK39" s="7">
        <v>42492</v>
      </c>
      <c r="AL39" s="8">
        <v>26.83</v>
      </c>
      <c r="AM39" s="8">
        <v>28.52</v>
      </c>
      <c r="AN39" s="8">
        <v>30.81</v>
      </c>
      <c r="AO39" s="8">
        <v>27.73</v>
      </c>
      <c r="AP39" s="8">
        <v>27.83</v>
      </c>
      <c r="AQ39" s="8">
        <v>29.27</v>
      </c>
      <c r="AR39" s="8">
        <v>27.49</v>
      </c>
      <c r="AS39" s="8">
        <v>27.52</v>
      </c>
      <c r="AT39" s="8">
        <v>27.83</v>
      </c>
      <c r="AU39" s="8">
        <v>27.89</v>
      </c>
      <c r="AV39" s="8">
        <v>26.42</v>
      </c>
      <c r="AW39" s="8">
        <v>27.67</v>
      </c>
      <c r="AX39" s="8">
        <v>28.62</v>
      </c>
      <c r="AY39" s="8">
        <v>27.32</v>
      </c>
      <c r="AZ39" s="8">
        <v>25.11</v>
      </c>
      <c r="BA39" s="8">
        <f t="shared" si="2"/>
        <v>27.79066666666667</v>
      </c>
      <c r="BB39" s="8">
        <f t="shared" si="3"/>
        <v>1.2797458825132133</v>
      </c>
      <c r="BD39" s="11">
        <v>42492</v>
      </c>
      <c r="BE39" s="12">
        <v>37.92</v>
      </c>
      <c r="BF39" s="12">
        <v>39.9</v>
      </c>
      <c r="BG39" s="12">
        <v>34.020000000000003</v>
      </c>
      <c r="BH39" s="12">
        <v>36.68</v>
      </c>
      <c r="BI39" s="12">
        <v>41.5</v>
      </c>
      <c r="BJ39" s="12">
        <v>50.4</v>
      </c>
      <c r="BK39" s="12">
        <v>45.35</v>
      </c>
      <c r="BL39" s="12">
        <v>34.020000000000003</v>
      </c>
      <c r="BM39" s="12">
        <v>39.65</v>
      </c>
      <c r="BN39" s="12">
        <v>39.65</v>
      </c>
      <c r="BO39" s="12">
        <v>41.36</v>
      </c>
      <c r="BP39" s="12">
        <v>37.61</v>
      </c>
      <c r="BQ39" s="12">
        <v>39.9</v>
      </c>
      <c r="BR39" s="12">
        <v>40.65</v>
      </c>
      <c r="BS39" s="12">
        <v>35.32</v>
      </c>
      <c r="BT39" s="13">
        <f t="shared" si="4"/>
        <v>39.595333333333336</v>
      </c>
      <c r="BU39" s="13">
        <f t="shared" si="5"/>
        <v>4.2560660351124273</v>
      </c>
    </row>
    <row r="40" spans="1:73">
      <c r="A40" s="2">
        <v>42499</v>
      </c>
      <c r="B40" s="3">
        <v>29.63</v>
      </c>
      <c r="C40" s="3">
        <v>29.94</v>
      </c>
      <c r="D40" s="3">
        <v>29.22</v>
      </c>
      <c r="E40" s="3">
        <v>36.869999999999997</v>
      </c>
      <c r="F40" s="3">
        <v>35.85</v>
      </c>
      <c r="G40" s="3">
        <v>36.89</v>
      </c>
      <c r="H40" s="3">
        <v>36.479999999999997</v>
      </c>
      <c r="I40" s="3">
        <v>36.46</v>
      </c>
      <c r="J40" s="3">
        <v>35.32</v>
      </c>
      <c r="K40" s="3">
        <v>31.82</v>
      </c>
      <c r="L40" s="3">
        <v>37.75</v>
      </c>
      <c r="M40" s="3">
        <v>35.83</v>
      </c>
      <c r="N40" s="3">
        <v>35.64</v>
      </c>
      <c r="O40" s="3">
        <v>36.840000000000003</v>
      </c>
      <c r="P40" s="3">
        <v>35.76</v>
      </c>
      <c r="Q40" s="3">
        <v>34.68666666666666</v>
      </c>
      <c r="R40" s="3">
        <v>2.9438644831646199</v>
      </c>
      <c r="T40" s="3">
        <v>22.65</v>
      </c>
      <c r="U40" s="3">
        <v>21.23</v>
      </c>
      <c r="V40" s="3">
        <v>23.5</v>
      </c>
      <c r="W40" s="3">
        <v>21.93</v>
      </c>
      <c r="X40" s="3">
        <v>20.85</v>
      </c>
      <c r="Y40" s="3">
        <v>22.58</v>
      </c>
      <c r="Z40" s="3">
        <v>21.56</v>
      </c>
      <c r="AA40" s="3">
        <v>22.43</v>
      </c>
      <c r="AB40" s="3">
        <v>23.38</v>
      </c>
      <c r="AC40" s="3">
        <v>21.67</v>
      </c>
      <c r="AD40" s="3">
        <v>21.48</v>
      </c>
      <c r="AE40" s="3">
        <v>22.56</v>
      </c>
      <c r="AF40" s="3">
        <v>21.12</v>
      </c>
      <c r="AG40" s="3">
        <v>23.49</v>
      </c>
      <c r="AH40" s="3">
        <f t="shared" si="0"/>
        <v>22.173571428571428</v>
      </c>
      <c r="AI40" s="3">
        <f t="shared" si="1"/>
        <v>0.89776309315351677</v>
      </c>
      <c r="AK40" s="7">
        <v>42499</v>
      </c>
      <c r="AL40" s="8">
        <v>26.85</v>
      </c>
      <c r="AM40" s="8">
        <v>27.33</v>
      </c>
      <c r="AN40" s="8">
        <v>30.94</v>
      </c>
      <c r="AO40" s="8">
        <v>28.14</v>
      </c>
      <c r="AP40" s="8">
        <v>28.73</v>
      </c>
      <c r="AQ40" s="8">
        <v>29.47</v>
      </c>
      <c r="AR40" s="8">
        <v>26.36</v>
      </c>
      <c r="AS40" s="8">
        <v>27.26</v>
      </c>
      <c r="AT40" s="8">
        <v>27.85</v>
      </c>
      <c r="AU40" s="8">
        <v>27.13</v>
      </c>
      <c r="AV40" s="8">
        <v>26.97</v>
      </c>
      <c r="AW40" s="8">
        <v>27.54</v>
      </c>
      <c r="AX40" s="8">
        <v>28.45</v>
      </c>
      <c r="AY40" s="8">
        <v>27.62</v>
      </c>
      <c r="AZ40" s="8">
        <v>25.27</v>
      </c>
      <c r="BA40" s="8">
        <f t="shared" si="2"/>
        <v>27.727333333333331</v>
      </c>
      <c r="BB40" s="8">
        <f t="shared" si="3"/>
        <v>1.3390319886644484</v>
      </c>
      <c r="BD40" s="11">
        <v>42499</v>
      </c>
      <c r="BE40" s="12">
        <v>34.54</v>
      </c>
      <c r="BF40" s="12">
        <v>37.299999999999997</v>
      </c>
      <c r="BG40" s="12">
        <v>38.6</v>
      </c>
      <c r="BH40" s="12">
        <v>36.47</v>
      </c>
      <c r="BI40" s="12">
        <v>40.909999999999997</v>
      </c>
      <c r="BJ40" s="12">
        <v>50.25</v>
      </c>
      <c r="BK40" s="12">
        <v>45.12</v>
      </c>
      <c r="BL40" s="12">
        <v>36.6</v>
      </c>
      <c r="BM40" s="12">
        <v>39.340000000000003</v>
      </c>
      <c r="BN40" s="12">
        <v>40.450000000000003</v>
      </c>
      <c r="BO40" s="12">
        <v>41.73</v>
      </c>
      <c r="BP40" s="12">
        <v>39.18</v>
      </c>
      <c r="BQ40" s="12">
        <v>39.97</v>
      </c>
      <c r="BR40" s="12">
        <v>41.23</v>
      </c>
      <c r="BS40" s="12">
        <v>35.869999999999997</v>
      </c>
      <c r="BT40" s="13">
        <f t="shared" si="4"/>
        <v>39.837333333333341</v>
      </c>
      <c r="BU40" s="13">
        <f t="shared" si="5"/>
        <v>3.9430290507727799</v>
      </c>
    </row>
    <row r="41" spans="1:73">
      <c r="A41" s="2">
        <v>42506</v>
      </c>
      <c r="B41" s="3">
        <v>29.34</v>
      </c>
      <c r="C41" s="3">
        <v>25.14</v>
      </c>
      <c r="D41" s="3">
        <v>32.83</v>
      </c>
      <c r="E41" s="3">
        <v>36.64</v>
      </c>
      <c r="F41" s="3">
        <v>33.49</v>
      </c>
      <c r="G41" s="3">
        <v>39.479999999999997</v>
      </c>
      <c r="H41" s="3">
        <v>37.520000000000003</v>
      </c>
      <c r="I41" s="3">
        <v>39.29</v>
      </c>
      <c r="J41" s="3">
        <v>34.58</v>
      </c>
      <c r="K41" s="3">
        <v>32.22</v>
      </c>
      <c r="L41" s="3">
        <v>35.39</v>
      </c>
      <c r="M41" s="3">
        <v>37.39</v>
      </c>
      <c r="N41" s="3">
        <v>38.22</v>
      </c>
      <c r="O41" s="3">
        <v>36.94</v>
      </c>
      <c r="P41" s="3">
        <v>36.229999999999997</v>
      </c>
      <c r="Q41" s="3">
        <v>34.979999999999997</v>
      </c>
      <c r="R41" s="3">
        <v>3.9020745398167715</v>
      </c>
      <c r="T41" s="3">
        <v>22.74</v>
      </c>
      <c r="U41" s="3">
        <v>21.96</v>
      </c>
      <c r="V41" s="3">
        <v>23.11</v>
      </c>
      <c r="W41" s="3">
        <v>21.29</v>
      </c>
      <c r="X41" s="3">
        <v>20.67</v>
      </c>
      <c r="Y41" s="3">
        <v>23.49</v>
      </c>
      <c r="Z41" s="3">
        <v>21.39</v>
      </c>
      <c r="AA41" s="3">
        <v>21.51</v>
      </c>
      <c r="AB41" s="3">
        <v>22.69</v>
      </c>
      <c r="AC41" s="3">
        <v>21.49</v>
      </c>
      <c r="AD41" s="3">
        <v>21.28</v>
      </c>
      <c r="AE41" s="3">
        <v>22.83</v>
      </c>
      <c r="AF41" s="3">
        <v>21.33</v>
      </c>
      <c r="AG41" s="3">
        <v>22.59</v>
      </c>
      <c r="AH41" s="3">
        <f t="shared" si="0"/>
        <v>22.026428571428568</v>
      </c>
      <c r="AI41" s="3">
        <f t="shared" si="1"/>
        <v>0.86011275774979346</v>
      </c>
      <c r="AK41" s="7">
        <v>42506</v>
      </c>
      <c r="AL41" s="8">
        <v>26.75</v>
      </c>
      <c r="AM41" s="8">
        <v>27.33</v>
      </c>
      <c r="AN41" s="8">
        <v>30.21</v>
      </c>
      <c r="AO41" s="8">
        <v>28.44</v>
      </c>
      <c r="AP41" s="8">
        <v>28.27</v>
      </c>
      <c r="AQ41" s="8">
        <v>28.18</v>
      </c>
      <c r="AR41" s="8">
        <v>26.68</v>
      </c>
      <c r="AS41" s="8">
        <v>27.42</v>
      </c>
      <c r="AT41" s="8">
        <v>27.1</v>
      </c>
      <c r="AU41" s="8">
        <v>26.87</v>
      </c>
      <c r="AV41" s="8">
        <v>26.51</v>
      </c>
      <c r="AW41" s="8">
        <v>27.12</v>
      </c>
      <c r="AX41" s="8">
        <v>27.66</v>
      </c>
      <c r="AY41" s="8">
        <v>27.7</v>
      </c>
      <c r="AZ41" s="8">
        <v>25.41</v>
      </c>
      <c r="BA41" s="8">
        <f t="shared" si="2"/>
        <v>27.443333333333335</v>
      </c>
      <c r="BB41" s="8">
        <f t="shared" si="3"/>
        <v>1.0895652256530495</v>
      </c>
      <c r="BD41" s="11">
        <v>42506</v>
      </c>
      <c r="BE41" s="12">
        <v>35.4</v>
      </c>
      <c r="BF41" s="12">
        <v>37.92</v>
      </c>
      <c r="BG41" s="12">
        <v>38.53</v>
      </c>
      <c r="BH41" s="12">
        <v>36.39</v>
      </c>
      <c r="BI41" s="12">
        <v>40.15</v>
      </c>
      <c r="BJ41" s="12">
        <v>50.05</v>
      </c>
      <c r="BK41" s="12">
        <v>44.47</v>
      </c>
      <c r="BL41" s="12">
        <v>38.53</v>
      </c>
      <c r="BM41" s="12">
        <v>39.28</v>
      </c>
      <c r="BN41" s="12">
        <v>40.75</v>
      </c>
      <c r="BO41" s="12">
        <v>42.27</v>
      </c>
      <c r="BP41" s="12">
        <v>39.83</v>
      </c>
      <c r="BQ41" s="12">
        <v>40.36</v>
      </c>
      <c r="BR41" s="12">
        <v>41.65</v>
      </c>
      <c r="BS41" s="12">
        <v>39.450000000000003</v>
      </c>
      <c r="BT41" s="13">
        <f t="shared" si="4"/>
        <v>40.335333333333324</v>
      </c>
      <c r="BU41" s="13">
        <f t="shared" si="5"/>
        <v>3.5007833137062065</v>
      </c>
    </row>
    <row r="42" spans="1:73">
      <c r="A42" s="2">
        <v>42513</v>
      </c>
      <c r="B42" s="3">
        <v>30.52</v>
      </c>
      <c r="C42" s="3">
        <v>24.21</v>
      </c>
      <c r="D42" s="3">
        <v>32.11</v>
      </c>
      <c r="E42" s="3">
        <v>36.42</v>
      </c>
      <c r="F42" s="3">
        <v>32.26</v>
      </c>
      <c r="G42" s="3">
        <v>36.630000000000003</v>
      </c>
      <c r="H42" s="3">
        <v>37.64</v>
      </c>
      <c r="I42" s="3">
        <v>37.520000000000003</v>
      </c>
      <c r="J42" s="3">
        <v>34.28</v>
      </c>
      <c r="K42" s="3">
        <v>29.83</v>
      </c>
      <c r="L42" s="3">
        <v>38.14</v>
      </c>
      <c r="M42" s="3">
        <v>36.26</v>
      </c>
      <c r="N42" s="3">
        <v>35.17</v>
      </c>
      <c r="O42" s="3">
        <v>37.69</v>
      </c>
      <c r="P42" s="3">
        <v>36.450000000000003</v>
      </c>
      <c r="Q42" s="3">
        <v>34.341999999999999</v>
      </c>
      <c r="R42" s="3">
        <v>3.8906025974684901</v>
      </c>
      <c r="T42" s="3">
        <v>24.21</v>
      </c>
      <c r="U42" s="3">
        <v>23.11</v>
      </c>
      <c r="V42" s="3">
        <v>24.54</v>
      </c>
      <c r="W42" s="3">
        <v>21.26</v>
      </c>
      <c r="X42" s="3">
        <v>22.63</v>
      </c>
      <c r="Y42" s="3">
        <v>24.64</v>
      </c>
      <c r="Z42" s="3">
        <v>24.52</v>
      </c>
      <c r="AA42" s="3">
        <v>21.42</v>
      </c>
      <c r="AB42" s="3">
        <v>23.34</v>
      </c>
      <c r="AC42" s="3">
        <v>21.14</v>
      </c>
      <c r="AD42" s="3">
        <v>23.26</v>
      </c>
      <c r="AE42" s="3">
        <v>23.17</v>
      </c>
      <c r="AF42" s="3">
        <v>24.45</v>
      </c>
      <c r="AG42" s="3">
        <v>22.05</v>
      </c>
      <c r="AH42" s="3">
        <f t="shared" si="0"/>
        <v>23.124285714285715</v>
      </c>
      <c r="AI42" s="3">
        <f t="shared" si="1"/>
        <v>1.27004369570932</v>
      </c>
      <c r="AK42" s="7">
        <v>42513</v>
      </c>
      <c r="AL42" s="8">
        <v>26.63</v>
      </c>
      <c r="AM42" s="8">
        <v>27.54</v>
      </c>
      <c r="AN42" s="8">
        <v>31.56</v>
      </c>
      <c r="AO42" s="8">
        <v>28.45</v>
      </c>
      <c r="AP42" s="8">
        <v>28.11</v>
      </c>
      <c r="AQ42" s="8">
        <v>28.96</v>
      </c>
      <c r="AR42" s="8">
        <v>26.97</v>
      </c>
      <c r="AS42" s="8">
        <v>27.94</v>
      </c>
      <c r="AT42" s="8">
        <v>27.45</v>
      </c>
      <c r="AU42" s="8">
        <v>27.87</v>
      </c>
      <c r="AV42" s="8">
        <v>27.23</v>
      </c>
      <c r="AW42" s="8">
        <v>27.65</v>
      </c>
      <c r="AX42" s="8">
        <v>27.85</v>
      </c>
      <c r="AY42" s="8">
        <v>27.33</v>
      </c>
      <c r="AZ42" s="8">
        <v>24.26</v>
      </c>
      <c r="BA42" s="8">
        <f t="shared" si="2"/>
        <v>27.720000000000002</v>
      </c>
      <c r="BB42" s="8">
        <f t="shared" si="3"/>
        <v>1.4947670625982401</v>
      </c>
      <c r="BD42" s="11">
        <v>42513</v>
      </c>
      <c r="BE42" s="12">
        <v>35.47</v>
      </c>
      <c r="BF42" s="12">
        <v>37.26</v>
      </c>
      <c r="BG42" s="12">
        <v>37.04</v>
      </c>
      <c r="BH42" s="12">
        <v>39.33</v>
      </c>
      <c r="BI42" s="12">
        <v>43.04</v>
      </c>
      <c r="BJ42" s="12">
        <v>52.84</v>
      </c>
      <c r="BK42" s="12">
        <v>44.27</v>
      </c>
      <c r="BL42" s="12">
        <v>37.04</v>
      </c>
      <c r="BM42" s="12">
        <v>39.64</v>
      </c>
      <c r="BN42" s="12">
        <v>40.42</v>
      </c>
      <c r="BO42" s="12">
        <v>42.94</v>
      </c>
      <c r="BP42" s="12">
        <v>38.39</v>
      </c>
      <c r="BQ42" s="12">
        <v>42.73</v>
      </c>
      <c r="BR42" s="12">
        <v>42.65</v>
      </c>
      <c r="BS42" s="12">
        <v>38.229999999999997</v>
      </c>
      <c r="BT42" s="13">
        <f t="shared" si="4"/>
        <v>40.752666666666663</v>
      </c>
      <c r="BU42" s="13">
        <f t="shared" si="5"/>
        <v>4.3011052843038176</v>
      </c>
    </row>
    <row r="43" spans="1:73">
      <c r="A43" s="2">
        <v>42520</v>
      </c>
      <c r="B43" s="3">
        <v>34.659999999999997</v>
      </c>
      <c r="C43" s="3">
        <v>28.62</v>
      </c>
      <c r="D43" s="3">
        <v>35.450000000000003</v>
      </c>
      <c r="E43" s="3">
        <v>36.75</v>
      </c>
      <c r="F43" s="3">
        <v>32.61</v>
      </c>
      <c r="G43" s="3">
        <v>39.07</v>
      </c>
      <c r="H43" s="3">
        <v>38.08</v>
      </c>
      <c r="I43" s="3">
        <v>39.79</v>
      </c>
      <c r="J43" s="3">
        <v>34.19</v>
      </c>
      <c r="K43" s="3">
        <v>33.11</v>
      </c>
      <c r="L43" s="3">
        <v>38.28</v>
      </c>
      <c r="M43" s="3">
        <v>39.57</v>
      </c>
      <c r="N43" s="3">
        <v>38.479999999999997</v>
      </c>
      <c r="O43" s="3">
        <v>37.119999999999997</v>
      </c>
      <c r="P43" s="3">
        <v>36.119999999999997</v>
      </c>
      <c r="Q43" s="3">
        <v>36.126666666666665</v>
      </c>
      <c r="R43" s="3">
        <v>3.0877931709663886</v>
      </c>
      <c r="T43" s="3">
        <v>26.62</v>
      </c>
      <c r="U43" s="3">
        <v>24.45</v>
      </c>
      <c r="V43" s="3">
        <v>26.1</v>
      </c>
      <c r="W43" s="3">
        <v>21.61</v>
      </c>
      <c r="X43" s="3">
        <v>23.07</v>
      </c>
      <c r="Y43" s="3">
        <v>23.08</v>
      </c>
      <c r="Z43" s="3">
        <v>26.79</v>
      </c>
      <c r="AA43" s="3">
        <v>24.79</v>
      </c>
      <c r="AB43" s="3">
        <v>23.21</v>
      </c>
      <c r="AC43" s="3">
        <v>23.28</v>
      </c>
      <c r="AD43" s="3">
        <v>22.57</v>
      </c>
      <c r="AE43" s="3">
        <v>22.48</v>
      </c>
      <c r="AF43" s="3">
        <v>23.43</v>
      </c>
      <c r="AG43" s="3">
        <v>22.19</v>
      </c>
      <c r="AH43" s="3">
        <f t="shared" si="0"/>
        <v>23.833571428571428</v>
      </c>
      <c r="AI43" s="3">
        <f t="shared" si="1"/>
        <v>1.6645517167040553</v>
      </c>
      <c r="AK43" s="7">
        <v>42520</v>
      </c>
      <c r="AL43" s="8">
        <v>26.94</v>
      </c>
      <c r="AM43" s="8">
        <v>27.23</v>
      </c>
      <c r="AN43" s="8">
        <v>30.6</v>
      </c>
      <c r="AO43" s="8">
        <v>28.12</v>
      </c>
      <c r="AP43" s="8">
        <v>27.54</v>
      </c>
      <c r="AQ43" s="8">
        <v>29.03</v>
      </c>
      <c r="AR43" s="8">
        <v>26.34</v>
      </c>
      <c r="AS43" s="8">
        <v>27.54</v>
      </c>
      <c r="AT43" s="8">
        <v>27.33</v>
      </c>
      <c r="AU43" s="8">
        <v>27.54</v>
      </c>
      <c r="AV43" s="8">
        <v>27.66</v>
      </c>
      <c r="AW43" s="8">
        <v>27.43</v>
      </c>
      <c r="AX43" s="8">
        <v>27.34</v>
      </c>
      <c r="AY43" s="8">
        <v>27.59</v>
      </c>
      <c r="AZ43" s="8">
        <v>24.86</v>
      </c>
      <c r="BA43" s="8">
        <f t="shared" si="2"/>
        <v>27.539333333333335</v>
      </c>
      <c r="BB43" s="8">
        <f t="shared" si="3"/>
        <v>1.2279975957786302</v>
      </c>
      <c r="BD43" s="11">
        <v>42520</v>
      </c>
      <c r="BE43" s="12">
        <v>37.26</v>
      </c>
      <c r="BF43" s="12">
        <v>37.61</v>
      </c>
      <c r="BG43" s="12">
        <v>37.65</v>
      </c>
      <c r="BH43" s="12">
        <v>39.64</v>
      </c>
      <c r="BI43" s="12">
        <v>43.55</v>
      </c>
      <c r="BJ43" s="12">
        <v>52.02</v>
      </c>
      <c r="BK43" s="12">
        <v>43.78</v>
      </c>
      <c r="BL43" s="12">
        <v>37.65</v>
      </c>
      <c r="BM43" s="12">
        <v>39.229999999999997</v>
      </c>
      <c r="BN43" s="12">
        <v>40.229999999999997</v>
      </c>
      <c r="BO43" s="12">
        <v>42.86</v>
      </c>
      <c r="BP43" s="12">
        <v>38.630000000000003</v>
      </c>
      <c r="BQ43" s="12">
        <v>42.68</v>
      </c>
      <c r="BR43" s="12">
        <v>43.32</v>
      </c>
      <c r="BS43" s="12">
        <v>37.54</v>
      </c>
      <c r="BT43" s="13">
        <f t="shared" si="4"/>
        <v>40.910000000000004</v>
      </c>
      <c r="BU43" s="13">
        <f t="shared" si="5"/>
        <v>3.9488045207198024</v>
      </c>
    </row>
    <row r="44" spans="1:73">
      <c r="A44" s="2">
        <v>42527</v>
      </c>
      <c r="B44" s="3">
        <v>37.04</v>
      </c>
      <c r="C44" s="3">
        <v>32.94</v>
      </c>
      <c r="D44" s="3">
        <v>37.619999999999997</v>
      </c>
      <c r="E44" s="3">
        <v>36.86</v>
      </c>
      <c r="F44" s="3">
        <v>33.75</v>
      </c>
      <c r="G44" s="3">
        <v>39.200000000000003</v>
      </c>
      <c r="H44" s="3">
        <v>38.380000000000003</v>
      </c>
      <c r="I44" s="3">
        <v>38.880000000000003</v>
      </c>
      <c r="J44" s="3">
        <v>34.94</v>
      </c>
      <c r="K44" s="3">
        <v>37.450000000000003</v>
      </c>
      <c r="L44" s="3">
        <v>38.299999999999997</v>
      </c>
      <c r="M44" s="3">
        <v>38.71</v>
      </c>
      <c r="N44" s="3">
        <v>39.909999999999997</v>
      </c>
      <c r="O44" s="3">
        <v>37.58</v>
      </c>
      <c r="P44" s="3">
        <v>37.869999999999997</v>
      </c>
      <c r="Q44" s="3">
        <v>37.295333333333332</v>
      </c>
      <c r="R44" s="3">
        <v>1.9828510017744898</v>
      </c>
      <c r="T44" s="3">
        <v>27.94</v>
      </c>
      <c r="U44" s="3">
        <v>26.62</v>
      </c>
      <c r="V44" s="3">
        <v>27.54</v>
      </c>
      <c r="W44" s="3">
        <v>21.75</v>
      </c>
      <c r="X44" s="3">
        <v>24.23</v>
      </c>
      <c r="Y44" s="3">
        <v>24.38</v>
      </c>
      <c r="Z44" s="3">
        <v>26.88</v>
      </c>
      <c r="AA44" s="3">
        <v>23.67</v>
      </c>
      <c r="AB44" s="3">
        <v>21.54</v>
      </c>
      <c r="AC44" s="3">
        <v>24.3</v>
      </c>
      <c r="AD44" s="3">
        <v>22.71</v>
      </c>
      <c r="AE44" s="3">
        <v>23.91</v>
      </c>
      <c r="AF44" s="3">
        <v>25.29</v>
      </c>
      <c r="AG44" s="3">
        <v>22.59</v>
      </c>
      <c r="AH44" s="3">
        <f t="shared" si="0"/>
        <v>24.525000000000002</v>
      </c>
      <c r="AI44" s="3">
        <f t="shared" si="1"/>
        <v>2.079015114460173</v>
      </c>
      <c r="AK44" s="7">
        <v>42527</v>
      </c>
      <c r="AL44" s="8">
        <v>26.84</v>
      </c>
      <c r="AM44" s="8">
        <v>27.8</v>
      </c>
      <c r="AN44" s="8">
        <v>30.23</v>
      </c>
      <c r="AO44" s="8">
        <v>28.54</v>
      </c>
      <c r="AP44" s="8">
        <v>27.12</v>
      </c>
      <c r="AQ44" s="8">
        <v>29.12</v>
      </c>
      <c r="AR44" s="8">
        <v>26.55</v>
      </c>
      <c r="AS44" s="8">
        <v>27.03</v>
      </c>
      <c r="AT44" s="8">
        <v>27.95</v>
      </c>
      <c r="AU44" s="8">
        <v>28.23</v>
      </c>
      <c r="AV44" s="8">
        <v>26.39</v>
      </c>
      <c r="AW44" s="8">
        <v>27.75</v>
      </c>
      <c r="AX44" s="8">
        <v>27.54</v>
      </c>
      <c r="AY44" s="8">
        <v>26.34</v>
      </c>
      <c r="AZ44" s="8">
        <v>24.65</v>
      </c>
      <c r="BA44" s="8">
        <f t="shared" si="2"/>
        <v>27.471999999999998</v>
      </c>
      <c r="BB44" s="8">
        <f t="shared" si="3"/>
        <v>1.3212613021546606</v>
      </c>
      <c r="BD44" s="11">
        <v>42527</v>
      </c>
      <c r="BE44" s="12">
        <v>40.29</v>
      </c>
      <c r="BF44" s="12">
        <v>40.83</v>
      </c>
      <c r="BG44" s="12">
        <v>39.26</v>
      </c>
      <c r="BH44" s="12">
        <v>37.74</v>
      </c>
      <c r="BI44" s="12">
        <v>42.38</v>
      </c>
      <c r="BJ44" s="12">
        <v>52.26</v>
      </c>
      <c r="BK44" s="12">
        <v>43.94</v>
      </c>
      <c r="BL44" s="12">
        <v>39.26</v>
      </c>
      <c r="BM44" s="12">
        <v>41.23</v>
      </c>
      <c r="BN44" s="12">
        <v>39.520000000000003</v>
      </c>
      <c r="BO44" s="12">
        <v>41.91</v>
      </c>
      <c r="BP44" s="12">
        <v>40.69</v>
      </c>
      <c r="BQ44" s="12">
        <v>41.68</v>
      </c>
      <c r="BR44" s="12">
        <v>42.65</v>
      </c>
      <c r="BS44" s="12">
        <v>38.86</v>
      </c>
      <c r="BT44" s="13">
        <f t="shared" si="4"/>
        <v>41.5</v>
      </c>
      <c r="BU44" s="13">
        <f t="shared" si="5"/>
        <v>3.398880067652537</v>
      </c>
    </row>
    <row r="45" spans="1:73">
      <c r="A45" s="2">
        <v>42534</v>
      </c>
      <c r="B45" s="3">
        <v>39.450000000000003</v>
      </c>
      <c r="C45" s="3">
        <v>37.14</v>
      </c>
      <c r="D45" s="3">
        <v>38.35</v>
      </c>
      <c r="E45" s="3">
        <v>34.119999999999997</v>
      </c>
      <c r="F45" s="3">
        <v>33.69</v>
      </c>
      <c r="G45" s="3">
        <v>39.58</v>
      </c>
      <c r="H45" s="3">
        <v>39.03</v>
      </c>
      <c r="I45" s="3">
        <v>39.229999999999997</v>
      </c>
      <c r="J45" s="3">
        <v>35.94</v>
      </c>
      <c r="K45" s="3">
        <v>40.619999999999997</v>
      </c>
      <c r="L45" s="3">
        <v>38.54</v>
      </c>
      <c r="M45" s="3">
        <v>39.94</v>
      </c>
      <c r="N45" s="3">
        <v>39.630000000000003</v>
      </c>
      <c r="O45" s="3">
        <v>37.65</v>
      </c>
      <c r="P45" s="3">
        <v>37.44</v>
      </c>
      <c r="Q45" s="3">
        <v>38.023333333333341</v>
      </c>
      <c r="R45" s="3">
        <v>2.0687009956791269</v>
      </c>
      <c r="T45" s="3">
        <v>28.14</v>
      </c>
      <c r="U45" s="3">
        <v>25.35</v>
      </c>
      <c r="V45" s="3">
        <v>26.65</v>
      </c>
      <c r="W45" s="3">
        <v>20.69</v>
      </c>
      <c r="X45" s="3">
        <v>26.58</v>
      </c>
      <c r="Y45" s="3">
        <v>27.03</v>
      </c>
      <c r="Z45" s="3">
        <v>25.23</v>
      </c>
      <c r="AA45" s="3">
        <v>24.65</v>
      </c>
      <c r="AB45" s="3">
        <v>23.21</v>
      </c>
      <c r="AC45" s="3">
        <v>23.54</v>
      </c>
      <c r="AD45" s="3">
        <v>24.94</v>
      </c>
      <c r="AE45" s="3">
        <v>22.63</v>
      </c>
      <c r="AF45" s="3">
        <v>24.32</v>
      </c>
      <c r="AG45" s="3">
        <v>22.34</v>
      </c>
      <c r="AH45" s="3">
        <f t="shared" si="0"/>
        <v>24.664285714285711</v>
      </c>
      <c r="AI45" s="3">
        <f t="shared" si="1"/>
        <v>2.0566915713787082</v>
      </c>
      <c r="AK45" s="7">
        <v>42534</v>
      </c>
      <c r="AL45" s="8">
        <v>26.34</v>
      </c>
      <c r="AM45" s="8">
        <v>27.34</v>
      </c>
      <c r="AN45" s="8">
        <v>29.82</v>
      </c>
      <c r="AO45" s="8">
        <v>28.12</v>
      </c>
      <c r="AP45" s="8">
        <v>28.95</v>
      </c>
      <c r="AQ45" s="8">
        <v>28.35</v>
      </c>
      <c r="AR45" s="8">
        <v>26.94</v>
      </c>
      <c r="AS45" s="8">
        <v>27.54</v>
      </c>
      <c r="AT45" s="8">
        <v>28.34</v>
      </c>
      <c r="AU45" s="8">
        <v>28.01</v>
      </c>
      <c r="AV45" s="8">
        <v>26.49</v>
      </c>
      <c r="AW45" s="8">
        <v>27.03</v>
      </c>
      <c r="AX45" s="8">
        <v>28.45</v>
      </c>
      <c r="AY45" s="8">
        <v>26.4</v>
      </c>
      <c r="AZ45" s="8">
        <v>24.73</v>
      </c>
      <c r="BA45" s="8">
        <f t="shared" si="2"/>
        <v>27.52333333333333</v>
      </c>
      <c r="BB45" s="8">
        <f t="shared" si="3"/>
        <v>1.2610124428221876</v>
      </c>
      <c r="BD45" s="11">
        <v>42534</v>
      </c>
      <c r="BE45" s="12">
        <v>41.76</v>
      </c>
      <c r="BF45" s="12">
        <v>41.31</v>
      </c>
      <c r="BG45" s="12">
        <v>41.58</v>
      </c>
      <c r="BH45" s="12">
        <v>37.15</v>
      </c>
      <c r="BI45" s="12">
        <v>41.88</v>
      </c>
      <c r="BJ45" s="12">
        <v>52.92</v>
      </c>
      <c r="BK45" s="12">
        <v>43.6</v>
      </c>
      <c r="BL45" s="12">
        <v>41.58</v>
      </c>
      <c r="BM45" s="12">
        <v>41.65</v>
      </c>
      <c r="BN45" s="12">
        <v>39.22</v>
      </c>
      <c r="BO45" s="12">
        <v>41.91</v>
      </c>
      <c r="BP45" s="12">
        <v>40.69</v>
      </c>
      <c r="BQ45" s="12">
        <v>41.68</v>
      </c>
      <c r="BR45" s="12">
        <v>43.23</v>
      </c>
      <c r="BS45" s="12">
        <v>41.34</v>
      </c>
      <c r="BT45" s="13">
        <f t="shared" si="4"/>
        <v>42.1</v>
      </c>
      <c r="BU45" s="13">
        <f t="shared" si="5"/>
        <v>3.3562925974950404</v>
      </c>
    </row>
    <row r="46" spans="1:73">
      <c r="A46" s="2">
        <v>42541</v>
      </c>
      <c r="B46" s="3">
        <v>39.26</v>
      </c>
      <c r="C46" s="3">
        <v>42.48</v>
      </c>
      <c r="D46" s="3">
        <v>38.229999999999997</v>
      </c>
      <c r="E46" s="3">
        <v>32.76</v>
      </c>
      <c r="F46" s="3">
        <v>31.92</v>
      </c>
      <c r="G46" s="3">
        <v>42.23</v>
      </c>
      <c r="H46" s="3">
        <v>42.27</v>
      </c>
      <c r="I46" s="3">
        <v>42.28</v>
      </c>
      <c r="J46" s="3">
        <v>35.11</v>
      </c>
      <c r="K46" s="3">
        <v>43.35</v>
      </c>
      <c r="L46" s="3">
        <v>42.86</v>
      </c>
      <c r="M46" s="3">
        <v>37.36</v>
      </c>
      <c r="N46" s="3">
        <v>38.74</v>
      </c>
      <c r="O46" s="3">
        <v>37.44</v>
      </c>
      <c r="P46" s="3">
        <v>37.119999999999997</v>
      </c>
      <c r="Q46" s="3">
        <v>38.893999999999998</v>
      </c>
      <c r="R46" s="3">
        <v>3.6958467036854841</v>
      </c>
      <c r="T46" s="3">
        <v>27.48</v>
      </c>
      <c r="U46" s="3">
        <v>24.76</v>
      </c>
      <c r="V46" s="3">
        <v>27.22</v>
      </c>
      <c r="W46" s="3">
        <v>21.92</v>
      </c>
      <c r="X46" s="3">
        <v>27.23</v>
      </c>
      <c r="Y46" s="3">
        <v>26.27</v>
      </c>
      <c r="Z46" s="3">
        <v>26.28</v>
      </c>
      <c r="AA46" s="3">
        <v>25.12</v>
      </c>
      <c r="AB46" s="3">
        <v>23.64</v>
      </c>
      <c r="AC46" s="3">
        <v>23.86</v>
      </c>
      <c r="AD46" s="3">
        <v>22.36</v>
      </c>
      <c r="AE46" s="3">
        <v>23.74</v>
      </c>
      <c r="AF46" s="3">
        <v>23.69</v>
      </c>
      <c r="AG46" s="3">
        <v>22.2</v>
      </c>
      <c r="AH46" s="3">
        <f t="shared" si="0"/>
        <v>24.697857142857146</v>
      </c>
      <c r="AI46" s="3">
        <f t="shared" si="1"/>
        <v>1.9383941750897773</v>
      </c>
      <c r="AK46" s="7">
        <v>42541</v>
      </c>
      <c r="AL46" s="8">
        <v>26.95</v>
      </c>
      <c r="AM46" s="8">
        <v>26.23</v>
      </c>
      <c r="AN46" s="8">
        <v>29.45</v>
      </c>
      <c r="AO46" s="8">
        <v>28.95</v>
      </c>
      <c r="AP46" s="8">
        <v>28.54</v>
      </c>
      <c r="AQ46" s="8">
        <v>28.66</v>
      </c>
      <c r="AR46" s="8">
        <v>26.38</v>
      </c>
      <c r="AS46" s="8">
        <v>26.93</v>
      </c>
      <c r="AT46" s="8">
        <v>27.12</v>
      </c>
      <c r="AU46" s="8">
        <v>28.42</v>
      </c>
      <c r="AV46" s="8">
        <v>26.95</v>
      </c>
      <c r="AW46" s="8">
        <v>26.66</v>
      </c>
      <c r="AX46" s="8">
        <v>28.03</v>
      </c>
      <c r="AY46" s="8">
        <v>25.2</v>
      </c>
      <c r="AZ46" s="8">
        <v>24.65</v>
      </c>
      <c r="BA46" s="8">
        <f t="shared" si="2"/>
        <v>27.274666666666665</v>
      </c>
      <c r="BB46" s="8">
        <f t="shared" si="3"/>
        <v>1.3824815507250861</v>
      </c>
      <c r="BD46" s="11">
        <v>42541</v>
      </c>
      <c r="BE46" s="12">
        <v>39.630000000000003</v>
      </c>
      <c r="BF46" s="12">
        <v>39.42</v>
      </c>
      <c r="BG46" s="12">
        <v>43.88</v>
      </c>
      <c r="BH46" s="12">
        <v>36.28</v>
      </c>
      <c r="BI46" s="12">
        <v>44.47</v>
      </c>
      <c r="BJ46" s="12">
        <v>48.37</v>
      </c>
      <c r="BK46" s="12">
        <v>41.27</v>
      </c>
      <c r="BL46" s="12">
        <v>43.88</v>
      </c>
      <c r="BM46" s="12">
        <v>41.76</v>
      </c>
      <c r="BN46" s="12">
        <v>38.94</v>
      </c>
      <c r="BO46" s="12">
        <v>42.53</v>
      </c>
      <c r="BP46" s="12">
        <v>43.73</v>
      </c>
      <c r="BQ46" s="12">
        <v>42.92</v>
      </c>
      <c r="BR46" s="12">
        <v>44.65</v>
      </c>
      <c r="BS46" s="12">
        <v>43.23</v>
      </c>
      <c r="BT46" s="13">
        <f t="shared" si="4"/>
        <v>42.330666666666659</v>
      </c>
      <c r="BU46" s="13">
        <f t="shared" si="5"/>
        <v>2.924134711247723</v>
      </c>
    </row>
    <row r="47" spans="1:73">
      <c r="A47" s="2">
        <v>42548</v>
      </c>
      <c r="B47" s="3">
        <v>38.53</v>
      </c>
      <c r="C47" s="3">
        <v>46.32</v>
      </c>
      <c r="D47" s="3">
        <v>38.54</v>
      </c>
      <c r="E47" s="3">
        <v>31.65</v>
      </c>
      <c r="F47" s="3">
        <v>31.7</v>
      </c>
      <c r="G47" s="3">
        <v>42.43</v>
      </c>
      <c r="H47" s="3">
        <v>44.61</v>
      </c>
      <c r="I47" s="3">
        <v>41.56</v>
      </c>
      <c r="J47" s="3">
        <v>34.32</v>
      </c>
      <c r="K47" s="3">
        <v>42.94</v>
      </c>
      <c r="L47" s="3">
        <v>42.21</v>
      </c>
      <c r="M47" s="3">
        <v>39.82</v>
      </c>
      <c r="N47" s="3">
        <v>34.26</v>
      </c>
      <c r="O47" s="3">
        <v>38.950000000000003</v>
      </c>
      <c r="P47" s="3">
        <v>37.93</v>
      </c>
      <c r="Q47" s="3">
        <v>39.051333333333325</v>
      </c>
      <c r="R47" s="3">
        <v>4.496792295890673</v>
      </c>
      <c r="T47" s="3">
        <v>27.32</v>
      </c>
      <c r="U47" s="3">
        <v>23.65</v>
      </c>
      <c r="V47" s="3">
        <v>27.75</v>
      </c>
      <c r="W47" s="3">
        <v>30.97</v>
      </c>
      <c r="X47" s="3">
        <v>27.43</v>
      </c>
      <c r="Y47" s="3">
        <v>25.61</v>
      </c>
      <c r="Z47" s="3">
        <v>27.56</v>
      </c>
      <c r="AA47" s="3">
        <v>23.95</v>
      </c>
      <c r="AB47" s="3">
        <v>24.3</v>
      </c>
      <c r="AC47" s="3">
        <v>24.21</v>
      </c>
      <c r="AD47" s="3">
        <v>23.82</v>
      </c>
      <c r="AE47" s="3">
        <v>22.26</v>
      </c>
      <c r="AF47" s="3">
        <v>24.83</v>
      </c>
      <c r="AG47" s="3">
        <v>21.12</v>
      </c>
      <c r="AH47" s="3">
        <f t="shared" si="0"/>
        <v>25.341428571428569</v>
      </c>
      <c r="AI47" s="3">
        <f t="shared" si="1"/>
        <v>2.5989165113498798</v>
      </c>
      <c r="AK47" s="7">
        <v>42548</v>
      </c>
      <c r="AL47" s="8">
        <v>25.08</v>
      </c>
      <c r="AM47" s="8">
        <v>26.97</v>
      </c>
      <c r="AN47" s="8">
        <v>29.12</v>
      </c>
      <c r="AO47" s="8">
        <v>28.4</v>
      </c>
      <c r="AP47" s="8">
        <v>28.44</v>
      </c>
      <c r="AQ47" s="8">
        <v>28.53</v>
      </c>
      <c r="AR47" s="8">
        <v>26.04</v>
      </c>
      <c r="AS47" s="8">
        <v>26.69</v>
      </c>
      <c r="AT47" s="8">
        <v>27.04</v>
      </c>
      <c r="AU47" s="8">
        <v>27.33</v>
      </c>
      <c r="AV47" s="8">
        <v>26.34</v>
      </c>
      <c r="AW47" s="8">
        <v>26.95</v>
      </c>
      <c r="AX47" s="8">
        <v>27.34</v>
      </c>
      <c r="AY47" s="8">
        <v>25.43</v>
      </c>
      <c r="AZ47" s="8">
        <v>23.75</v>
      </c>
      <c r="BA47" s="8">
        <f t="shared" si="2"/>
        <v>26.896666666666661</v>
      </c>
      <c r="BB47" s="8">
        <f t="shared" si="3"/>
        <v>1.4418572678848562</v>
      </c>
      <c r="BD47" s="11">
        <v>42548</v>
      </c>
      <c r="BE47" s="12">
        <v>39.92</v>
      </c>
      <c r="BF47" s="12">
        <v>39.659999999999997</v>
      </c>
      <c r="BG47" s="12">
        <v>44.14</v>
      </c>
      <c r="BH47" s="12">
        <v>38.74</v>
      </c>
      <c r="BI47" s="12">
        <v>46.61</v>
      </c>
      <c r="BJ47" s="12">
        <v>48.62</v>
      </c>
      <c r="BK47" s="12">
        <v>42.36</v>
      </c>
      <c r="BL47" s="12">
        <v>44.14</v>
      </c>
      <c r="BM47" s="12">
        <v>40.65</v>
      </c>
      <c r="BN47" s="12">
        <v>38.119999999999997</v>
      </c>
      <c r="BO47" s="12">
        <v>45.61</v>
      </c>
      <c r="BP47" s="12">
        <v>45.48</v>
      </c>
      <c r="BQ47" s="12">
        <v>42.22</v>
      </c>
      <c r="BR47" s="12">
        <v>45.65</v>
      </c>
      <c r="BS47" s="12">
        <v>44.76</v>
      </c>
      <c r="BT47" s="13">
        <f t="shared" si="4"/>
        <v>43.111999999999995</v>
      </c>
      <c r="BU47" s="13">
        <f t="shared" si="5"/>
        <v>3.1538484427759044</v>
      </c>
    </row>
    <row r="48" spans="1:73">
      <c r="A48" s="2">
        <v>42555</v>
      </c>
      <c r="B48" s="3">
        <v>41.84</v>
      </c>
      <c r="C48" s="3">
        <v>48.58</v>
      </c>
      <c r="D48" s="3">
        <v>37.43</v>
      </c>
      <c r="E48" s="3">
        <v>33.26</v>
      </c>
      <c r="F48" s="3">
        <v>33.11</v>
      </c>
      <c r="G48" s="3">
        <v>45.54</v>
      </c>
      <c r="H48" s="3">
        <v>44.56</v>
      </c>
      <c r="I48" s="3">
        <v>41.11</v>
      </c>
      <c r="J48" s="3">
        <v>34</v>
      </c>
      <c r="K48" s="3">
        <v>39.54</v>
      </c>
      <c r="L48" s="3">
        <v>39.11</v>
      </c>
      <c r="M48" s="3">
        <v>38.83</v>
      </c>
      <c r="N48" s="3">
        <v>36.49</v>
      </c>
      <c r="O48" s="3">
        <v>38.909999999999997</v>
      </c>
      <c r="P48" s="3">
        <v>37.619999999999997</v>
      </c>
      <c r="Q48" s="3">
        <v>39.328666666666663</v>
      </c>
      <c r="R48" s="3">
        <v>4.4722060179140639</v>
      </c>
      <c r="T48" s="3">
        <v>26.58</v>
      </c>
      <c r="U48" s="3">
        <v>23.12</v>
      </c>
      <c r="V48" s="3">
        <v>27.06</v>
      </c>
      <c r="W48" s="3">
        <v>29.11</v>
      </c>
      <c r="X48" s="3">
        <v>28.54</v>
      </c>
      <c r="Y48" s="3">
        <v>24.56</v>
      </c>
      <c r="Z48" s="3">
        <v>26.11</v>
      </c>
      <c r="AA48" s="3">
        <v>23.45</v>
      </c>
      <c r="AB48" s="3">
        <v>21.94</v>
      </c>
      <c r="AC48" s="3">
        <v>22.11</v>
      </c>
      <c r="AD48" s="3">
        <v>22.12</v>
      </c>
      <c r="AE48" s="3">
        <v>24.03</v>
      </c>
      <c r="AF48" s="3">
        <v>24.12</v>
      </c>
      <c r="AG48" s="3">
        <v>20.94</v>
      </c>
      <c r="AH48" s="3">
        <f t="shared" si="0"/>
        <v>24.556428571428572</v>
      </c>
      <c r="AI48" s="3">
        <f t="shared" si="1"/>
        <v>2.5567515662317621</v>
      </c>
      <c r="AK48" s="7">
        <v>42555</v>
      </c>
      <c r="AL48" s="8">
        <v>25.34</v>
      </c>
      <c r="AM48" s="8">
        <v>26.65</v>
      </c>
      <c r="AN48" s="8">
        <v>28.52</v>
      </c>
      <c r="AO48" s="8">
        <v>27.12</v>
      </c>
      <c r="AP48" s="8">
        <v>28.23</v>
      </c>
      <c r="AQ48" s="8">
        <v>27.61</v>
      </c>
      <c r="AR48" s="8">
        <v>25.84</v>
      </c>
      <c r="AS48" s="8">
        <v>26.46</v>
      </c>
      <c r="AT48" s="8">
        <v>25.76</v>
      </c>
      <c r="AU48" s="8">
        <v>27.65</v>
      </c>
      <c r="AV48" s="8">
        <v>26.33</v>
      </c>
      <c r="AW48" s="8">
        <v>25.44</v>
      </c>
      <c r="AX48" s="8">
        <v>27.45</v>
      </c>
      <c r="AY48" s="8">
        <v>25.9</v>
      </c>
      <c r="AZ48" s="8">
        <v>23.55</v>
      </c>
      <c r="BA48" s="8">
        <f t="shared" si="2"/>
        <v>26.523333333333326</v>
      </c>
      <c r="BB48" s="8">
        <f t="shared" si="3"/>
        <v>1.2948947374023805</v>
      </c>
      <c r="BD48" s="11">
        <v>42555</v>
      </c>
      <c r="BE48" s="12">
        <v>39.479999999999997</v>
      </c>
      <c r="BF48" s="12">
        <v>38.270000000000003</v>
      </c>
      <c r="BG48" s="12">
        <v>45.26</v>
      </c>
      <c r="BH48" s="12">
        <v>37.729999999999997</v>
      </c>
      <c r="BI48" s="12">
        <v>48.26</v>
      </c>
      <c r="BJ48" s="12">
        <v>47.45</v>
      </c>
      <c r="BK48" s="12">
        <v>47.84</v>
      </c>
      <c r="BL48" s="12">
        <v>45.26</v>
      </c>
      <c r="BM48" s="12">
        <v>40.119999999999997</v>
      </c>
      <c r="BN48" s="12">
        <v>39.65</v>
      </c>
      <c r="BO48" s="12">
        <v>44.26</v>
      </c>
      <c r="BP48" s="12">
        <v>45.96</v>
      </c>
      <c r="BQ48" s="12">
        <v>42.39</v>
      </c>
      <c r="BR48" s="12">
        <v>47.95</v>
      </c>
      <c r="BS48" s="12">
        <v>44.23</v>
      </c>
      <c r="BT48" s="13">
        <f t="shared" si="4"/>
        <v>43.607333333333337</v>
      </c>
      <c r="BU48" s="13">
        <f t="shared" si="5"/>
        <v>3.7260462896186568</v>
      </c>
    </row>
    <row r="49" spans="1:73">
      <c r="A49" s="2">
        <v>42562</v>
      </c>
      <c r="B49" s="3">
        <v>38.14</v>
      </c>
      <c r="C49" s="3">
        <v>43.28</v>
      </c>
      <c r="D49" s="3">
        <v>35.340000000000003</v>
      </c>
      <c r="E49" s="3">
        <v>34.96</v>
      </c>
      <c r="F49" s="3">
        <v>35.630000000000003</v>
      </c>
      <c r="G49" s="3">
        <v>46.91</v>
      </c>
      <c r="H49" s="3">
        <v>44.11</v>
      </c>
      <c r="I49" s="3">
        <v>42.4</v>
      </c>
      <c r="J49" s="3">
        <v>34.92</v>
      </c>
      <c r="K49" s="3">
        <v>38.29</v>
      </c>
      <c r="L49" s="3">
        <v>39.17</v>
      </c>
      <c r="M49" s="3">
        <v>38.03</v>
      </c>
      <c r="N49" s="3">
        <v>35</v>
      </c>
      <c r="O49" s="3">
        <v>36.450000000000003</v>
      </c>
      <c r="P49" s="3">
        <v>36.229999999999997</v>
      </c>
      <c r="Q49" s="3">
        <v>38.590666666666678</v>
      </c>
      <c r="R49" s="3">
        <v>3.8373604519376632</v>
      </c>
      <c r="T49" s="3">
        <v>27.28</v>
      </c>
      <c r="U49" s="3">
        <v>21.96</v>
      </c>
      <c r="V49" s="3">
        <v>26.54</v>
      </c>
      <c r="W49" s="3">
        <v>29.63</v>
      </c>
      <c r="X49" s="3">
        <v>26.91</v>
      </c>
      <c r="Y49" s="3">
        <v>24.11</v>
      </c>
      <c r="Z49" s="3">
        <v>26.93</v>
      </c>
      <c r="AA49" s="3">
        <v>23.91</v>
      </c>
      <c r="AB49" s="3">
        <v>20.65</v>
      </c>
      <c r="AC49" s="3">
        <v>22.17</v>
      </c>
      <c r="AD49" s="3">
        <v>21.04</v>
      </c>
      <c r="AE49" s="3">
        <v>24.43</v>
      </c>
      <c r="AF49" s="3">
        <v>24.54</v>
      </c>
      <c r="AG49" s="3">
        <v>20.43</v>
      </c>
      <c r="AH49" s="3">
        <f t="shared" si="0"/>
        <v>24.323571428571434</v>
      </c>
      <c r="AI49" s="3">
        <f t="shared" si="1"/>
        <v>2.8451081016175239</v>
      </c>
      <c r="AK49" s="7">
        <v>42562</v>
      </c>
      <c r="AL49" s="8">
        <v>25.86</v>
      </c>
      <c r="AM49" s="8">
        <v>25.39</v>
      </c>
      <c r="AN49" s="8">
        <v>28.75</v>
      </c>
      <c r="AO49" s="8">
        <v>26.84</v>
      </c>
      <c r="AP49" s="8">
        <v>28.06</v>
      </c>
      <c r="AQ49" s="8">
        <v>26.39</v>
      </c>
      <c r="AR49" s="8">
        <v>26.74</v>
      </c>
      <c r="AS49" s="8">
        <v>26.24</v>
      </c>
      <c r="AT49" s="8">
        <v>26.34</v>
      </c>
      <c r="AU49" s="8">
        <v>27.96</v>
      </c>
      <c r="AV49" s="8">
        <v>26.54</v>
      </c>
      <c r="AW49" s="8">
        <v>24.2</v>
      </c>
      <c r="AX49" s="8">
        <v>27.1</v>
      </c>
      <c r="AY49" s="8">
        <v>23.65</v>
      </c>
      <c r="AZ49" s="8">
        <v>23.47</v>
      </c>
      <c r="BA49" s="8">
        <f t="shared" si="2"/>
        <v>26.23533333333334</v>
      </c>
      <c r="BB49" s="8">
        <f t="shared" si="3"/>
        <v>1.5457816638778432</v>
      </c>
      <c r="BD49" s="11">
        <v>42562</v>
      </c>
      <c r="BE49" s="12">
        <v>39.770000000000003</v>
      </c>
      <c r="BF49" s="12">
        <v>38.119999999999997</v>
      </c>
      <c r="BG49" s="12">
        <v>47.03</v>
      </c>
      <c r="BH49" s="12">
        <v>37.42</v>
      </c>
      <c r="BI49" s="12">
        <v>47.77</v>
      </c>
      <c r="BJ49" s="12">
        <v>47.42</v>
      </c>
      <c r="BK49" s="12">
        <v>46.04</v>
      </c>
      <c r="BL49" s="12">
        <v>47.03</v>
      </c>
      <c r="BM49" s="12">
        <v>39.54</v>
      </c>
      <c r="BN49" s="12">
        <v>39.229999999999997</v>
      </c>
      <c r="BO49" s="12">
        <v>46.11</v>
      </c>
      <c r="BP49" s="12">
        <v>45.29</v>
      </c>
      <c r="BQ49" s="12">
        <v>43.23</v>
      </c>
      <c r="BR49" s="12">
        <v>47.65</v>
      </c>
      <c r="BS49" s="12">
        <v>46.55</v>
      </c>
      <c r="BT49" s="13">
        <f t="shared" si="4"/>
        <v>43.88</v>
      </c>
      <c r="BU49" s="13">
        <f t="shared" si="5"/>
        <v>3.9020049791284044</v>
      </c>
    </row>
    <row r="50" spans="1:73">
      <c r="A50" s="2">
        <v>42569</v>
      </c>
      <c r="B50" s="3">
        <v>41.23</v>
      </c>
      <c r="C50" s="3">
        <v>39.229999999999997</v>
      </c>
      <c r="D50" s="3">
        <v>35.42</v>
      </c>
      <c r="E50" s="3">
        <v>34.26</v>
      </c>
      <c r="F50" s="3">
        <v>34.19</v>
      </c>
      <c r="G50" s="3">
        <v>42.24</v>
      </c>
      <c r="H50" s="3">
        <v>40.122999999999998</v>
      </c>
      <c r="I50" s="3">
        <v>39.54</v>
      </c>
      <c r="J50" s="3">
        <v>34.39</v>
      </c>
      <c r="K50" s="3">
        <v>38.57</v>
      </c>
      <c r="L50" s="3">
        <v>38.229999999999997</v>
      </c>
      <c r="M50" s="3">
        <v>38.47</v>
      </c>
      <c r="N50" s="3">
        <v>34.119999999999997</v>
      </c>
      <c r="O50" s="3">
        <v>35.69</v>
      </c>
      <c r="P50" s="3">
        <v>36.119999999999997</v>
      </c>
      <c r="Q50" s="3">
        <v>37.454866666666668</v>
      </c>
      <c r="R50" s="3">
        <v>2.739400009039171</v>
      </c>
      <c r="T50" s="3">
        <v>25.1</v>
      </c>
      <c r="U50" s="3">
        <v>24.94</v>
      </c>
      <c r="V50" s="3">
        <v>26.83</v>
      </c>
      <c r="W50" s="3">
        <v>29.12</v>
      </c>
      <c r="X50" s="3">
        <v>26.4</v>
      </c>
      <c r="Y50" s="3">
        <v>25.2</v>
      </c>
      <c r="Z50" s="3">
        <v>25.4</v>
      </c>
      <c r="AA50" s="3">
        <v>22.95</v>
      </c>
      <c r="AB50" s="3">
        <v>22.45</v>
      </c>
      <c r="AC50" s="3">
        <v>21.23</v>
      </c>
      <c r="AD50" s="3">
        <v>20.54</v>
      </c>
      <c r="AE50" s="3">
        <v>23.95</v>
      </c>
      <c r="AF50" s="3">
        <v>24.65</v>
      </c>
      <c r="AG50" s="3">
        <v>21.54</v>
      </c>
      <c r="AH50" s="3">
        <f t="shared" si="0"/>
        <v>24.307142857142853</v>
      </c>
      <c r="AI50" s="3">
        <f t="shared" si="1"/>
        <v>2.3823434764031068</v>
      </c>
      <c r="AK50" s="7">
        <v>42569</v>
      </c>
      <c r="AL50" s="8">
        <v>25.45</v>
      </c>
      <c r="AM50" s="8">
        <v>25.76</v>
      </c>
      <c r="AN50" s="8">
        <v>28.45</v>
      </c>
      <c r="AO50" s="8">
        <v>27.93</v>
      </c>
      <c r="AP50" s="8">
        <v>27.43</v>
      </c>
      <c r="AQ50" s="8">
        <v>26.95</v>
      </c>
      <c r="AR50" s="8">
        <v>26.33</v>
      </c>
      <c r="AS50" s="8">
        <v>25.47</v>
      </c>
      <c r="AT50" s="8">
        <v>26.77</v>
      </c>
      <c r="AU50" s="8">
        <v>27.24</v>
      </c>
      <c r="AV50" s="8">
        <v>26.75</v>
      </c>
      <c r="AW50" s="8">
        <v>23.65</v>
      </c>
      <c r="AX50" s="8">
        <v>25.43</v>
      </c>
      <c r="AY50" s="8">
        <v>23.19</v>
      </c>
      <c r="AZ50" s="8">
        <v>23.17</v>
      </c>
      <c r="BA50" s="8">
        <f t="shared" si="2"/>
        <v>25.998000000000001</v>
      </c>
      <c r="BB50" s="8">
        <f t="shared" si="3"/>
        <v>1.6446892889366234</v>
      </c>
      <c r="BD50" s="11">
        <v>42569</v>
      </c>
      <c r="BE50" s="12">
        <v>40.119999999999997</v>
      </c>
      <c r="BF50" s="12">
        <v>38.43</v>
      </c>
      <c r="BG50" s="12">
        <v>46.39</v>
      </c>
      <c r="BH50" s="12">
        <v>37.65</v>
      </c>
      <c r="BI50" s="12">
        <v>47.23</v>
      </c>
      <c r="BJ50" s="12">
        <v>47.23</v>
      </c>
      <c r="BK50" s="12">
        <v>48.65</v>
      </c>
      <c r="BL50" s="12">
        <v>46.39</v>
      </c>
      <c r="BM50" s="12">
        <v>39.33</v>
      </c>
      <c r="BN50" s="12">
        <v>38.119999999999997</v>
      </c>
      <c r="BO50" s="12">
        <v>46.38</v>
      </c>
      <c r="BP50" s="12">
        <v>46.49</v>
      </c>
      <c r="BQ50" s="12">
        <v>43.59</v>
      </c>
      <c r="BR50" s="12">
        <v>47.23</v>
      </c>
      <c r="BS50" s="12">
        <v>46.36</v>
      </c>
      <c r="BT50" s="13">
        <f t="shared" si="4"/>
        <v>43.972666666666669</v>
      </c>
      <c r="BU50" s="13">
        <f t="shared" si="5"/>
        <v>4.0064367258319757</v>
      </c>
    </row>
    <row r="51" spans="1:73">
      <c r="A51" s="2">
        <v>42576</v>
      </c>
      <c r="B51" s="3">
        <v>41.32</v>
      </c>
      <c r="C51" s="3">
        <v>39.04</v>
      </c>
      <c r="D51" s="3">
        <v>35.340000000000003</v>
      </c>
      <c r="E51" s="3">
        <v>33.65</v>
      </c>
      <c r="F51" s="3">
        <v>34.69</v>
      </c>
      <c r="G51" s="3">
        <v>39.4</v>
      </c>
      <c r="H51" s="3">
        <v>40.33</v>
      </c>
      <c r="I51" s="3">
        <v>39.119999999999997</v>
      </c>
      <c r="J51" s="3">
        <v>34.65</v>
      </c>
      <c r="K51" s="3">
        <v>38.729999999999997</v>
      </c>
      <c r="L51" s="3">
        <v>38.74</v>
      </c>
      <c r="M51" s="3">
        <v>38.5</v>
      </c>
      <c r="N51" s="3">
        <v>35.119999999999997</v>
      </c>
      <c r="O51" s="3">
        <v>36.590000000000003</v>
      </c>
      <c r="P51" s="3">
        <v>36.869999999999997</v>
      </c>
      <c r="Q51" s="3">
        <v>37.472666666666669</v>
      </c>
      <c r="R51" s="3">
        <v>2.3549748760160196</v>
      </c>
      <c r="T51" s="3">
        <v>25.01</v>
      </c>
      <c r="U51" s="3">
        <v>23.25</v>
      </c>
      <c r="V51" s="3">
        <v>26.12</v>
      </c>
      <c r="W51" s="3">
        <v>28.59</v>
      </c>
      <c r="X51" s="3">
        <v>25.65</v>
      </c>
      <c r="Y51" s="3">
        <v>25.12</v>
      </c>
      <c r="Z51" s="3">
        <v>24.12</v>
      </c>
      <c r="AA51" s="3">
        <v>23.2</v>
      </c>
      <c r="AB51" s="3">
        <v>23.18</v>
      </c>
      <c r="AC51" s="3">
        <v>22.58</v>
      </c>
      <c r="AD51" s="3">
        <v>23.34</v>
      </c>
      <c r="AE51" s="3">
        <v>23.29</v>
      </c>
      <c r="AF51" s="3">
        <v>24.34</v>
      </c>
      <c r="AG51" s="3">
        <v>21.12</v>
      </c>
      <c r="AH51" s="3">
        <f t="shared" si="0"/>
        <v>24.20785714285714</v>
      </c>
      <c r="AI51" s="3">
        <f t="shared" si="1"/>
        <v>1.8231425893491993</v>
      </c>
      <c r="AK51" s="7">
        <v>42576</v>
      </c>
      <c r="AL51" s="8">
        <v>24.33</v>
      </c>
      <c r="AM51" s="8">
        <v>25.34</v>
      </c>
      <c r="AN51" s="8">
        <v>28.65</v>
      </c>
      <c r="AO51" s="8">
        <v>27.23</v>
      </c>
      <c r="AP51" s="8">
        <v>27.12</v>
      </c>
      <c r="AQ51" s="8">
        <v>26.34</v>
      </c>
      <c r="AR51" s="8">
        <v>25.12</v>
      </c>
      <c r="AS51" s="8">
        <v>25.73</v>
      </c>
      <c r="AT51" s="8">
        <v>26.54</v>
      </c>
      <c r="AU51" s="8">
        <v>27.43</v>
      </c>
      <c r="AV51" s="8">
        <v>26.84</v>
      </c>
      <c r="AW51" s="8">
        <v>23.76</v>
      </c>
      <c r="AX51" s="8">
        <v>25.63</v>
      </c>
      <c r="AY51" s="8">
        <v>23.55</v>
      </c>
      <c r="AZ51" s="8">
        <v>23.61</v>
      </c>
      <c r="BA51" s="8">
        <f t="shared" si="2"/>
        <v>25.814666666666664</v>
      </c>
      <c r="BB51" s="8">
        <f t="shared" si="3"/>
        <v>1.5439553410763196</v>
      </c>
      <c r="BD51" s="11">
        <v>42576</v>
      </c>
      <c r="BE51" s="12">
        <v>40.54</v>
      </c>
      <c r="BF51" s="12">
        <v>38.549999999999997</v>
      </c>
      <c r="BG51" s="12">
        <v>45.69</v>
      </c>
      <c r="BH51" s="12">
        <v>35.659999999999997</v>
      </c>
      <c r="BI51" s="12">
        <v>47.65</v>
      </c>
      <c r="BJ51" s="12">
        <v>46.79</v>
      </c>
      <c r="BK51" s="12">
        <v>48.99</v>
      </c>
      <c r="BL51" s="12">
        <v>45.69</v>
      </c>
      <c r="BM51" s="12">
        <v>39.65</v>
      </c>
      <c r="BN51" s="12">
        <v>39.65</v>
      </c>
      <c r="BO51" s="12">
        <v>46.28</v>
      </c>
      <c r="BP51" s="12">
        <v>46.97</v>
      </c>
      <c r="BQ51" s="12">
        <v>43.69</v>
      </c>
      <c r="BR51" s="12">
        <v>47.32</v>
      </c>
      <c r="BS51" s="12">
        <v>46.76</v>
      </c>
      <c r="BT51" s="13">
        <f t="shared" si="4"/>
        <v>43.991999999999997</v>
      </c>
      <c r="BU51" s="13">
        <f t="shared" si="5"/>
        <v>4.0843607648128808</v>
      </c>
    </row>
    <row r="52" spans="1:73">
      <c r="A52" s="2">
        <v>42583</v>
      </c>
      <c r="B52" s="3">
        <v>39.19</v>
      </c>
      <c r="C52" s="3">
        <v>38.43</v>
      </c>
      <c r="D52" s="3">
        <v>34.119999999999997</v>
      </c>
      <c r="E52" s="3">
        <v>33.17</v>
      </c>
      <c r="F52" s="3">
        <v>34.549999999999997</v>
      </c>
      <c r="G52" s="3">
        <v>38.229999999999997</v>
      </c>
      <c r="H52" s="3">
        <v>40.4</v>
      </c>
      <c r="I52" s="3">
        <v>38.47</v>
      </c>
      <c r="J52" s="3">
        <v>34.29</v>
      </c>
      <c r="K52" s="3">
        <v>38.94</v>
      </c>
      <c r="L52" s="3">
        <v>38.590000000000003</v>
      </c>
      <c r="M52" s="3">
        <v>38.119999999999997</v>
      </c>
      <c r="N52" s="3">
        <v>35.94</v>
      </c>
      <c r="O52" s="3">
        <v>35.39</v>
      </c>
      <c r="P52" s="3">
        <v>35.43</v>
      </c>
      <c r="Q52" s="3">
        <v>36.884000000000007</v>
      </c>
      <c r="R52" s="3">
        <v>2.2663620943832301</v>
      </c>
      <c r="T52" s="3">
        <v>26.23</v>
      </c>
      <c r="U52" s="3">
        <v>24.43</v>
      </c>
      <c r="V52" s="3">
        <v>26.49</v>
      </c>
      <c r="W52" s="3">
        <v>28.49</v>
      </c>
      <c r="X52" s="3">
        <v>26.7</v>
      </c>
      <c r="Y52" s="3">
        <v>25.14</v>
      </c>
      <c r="Z52" s="3">
        <v>24.03</v>
      </c>
      <c r="AA52" s="3">
        <v>23.54</v>
      </c>
      <c r="AB52" s="3">
        <v>24.45</v>
      </c>
      <c r="AC52" s="3">
        <v>23.23</v>
      </c>
      <c r="AD52" s="3">
        <v>22.85</v>
      </c>
      <c r="AE52" s="3">
        <v>23.69</v>
      </c>
      <c r="AF52" s="3">
        <v>25.96</v>
      </c>
      <c r="AG52" s="3">
        <v>21.74</v>
      </c>
      <c r="AH52" s="3">
        <f t="shared" si="0"/>
        <v>24.783571428571424</v>
      </c>
      <c r="AI52" s="3">
        <f t="shared" si="1"/>
        <v>1.8163259921859038</v>
      </c>
      <c r="AK52" s="7">
        <v>42583</v>
      </c>
      <c r="AL52" s="8">
        <v>24.76</v>
      </c>
      <c r="AM52" s="8">
        <v>25.79</v>
      </c>
      <c r="AN52" s="8">
        <v>27.19</v>
      </c>
      <c r="AO52" s="8">
        <v>27.12</v>
      </c>
      <c r="AP52" s="8">
        <v>25.29</v>
      </c>
      <c r="AQ52" s="8">
        <v>26.24</v>
      </c>
      <c r="AR52" s="8">
        <v>23.32</v>
      </c>
      <c r="AS52" s="8">
        <v>25.66</v>
      </c>
      <c r="AT52" s="8">
        <v>26.97</v>
      </c>
      <c r="AU52" s="8">
        <v>26.34</v>
      </c>
      <c r="AV52" s="8">
        <v>26.35</v>
      </c>
      <c r="AW52" s="8">
        <v>23.22</v>
      </c>
      <c r="AX52" s="8">
        <v>25.49</v>
      </c>
      <c r="AY52" s="8">
        <v>23.46</v>
      </c>
      <c r="AZ52" s="8">
        <v>23.65</v>
      </c>
      <c r="BA52" s="8">
        <f t="shared" si="2"/>
        <v>25.389999999999997</v>
      </c>
      <c r="BB52" s="8">
        <f t="shared" si="3"/>
        <v>1.405905910283981</v>
      </c>
      <c r="BD52" s="11">
        <v>42583</v>
      </c>
      <c r="BE52" s="12">
        <v>40.33</v>
      </c>
      <c r="BF52" s="12">
        <v>38.69</v>
      </c>
      <c r="BG52" s="12">
        <v>47.58</v>
      </c>
      <c r="BH52" s="12">
        <v>35.130000000000003</v>
      </c>
      <c r="BI52" s="12">
        <v>47.43</v>
      </c>
      <c r="BJ52" s="12">
        <v>47.89</v>
      </c>
      <c r="BK52" s="12">
        <v>48.25</v>
      </c>
      <c r="BL52" s="12">
        <v>47.58</v>
      </c>
      <c r="BM52" s="12">
        <v>39.229999999999997</v>
      </c>
      <c r="BN52" s="12">
        <v>40.19</v>
      </c>
      <c r="BO52" s="12">
        <v>47.49</v>
      </c>
      <c r="BP52" s="12">
        <v>46.55</v>
      </c>
      <c r="BQ52" s="12">
        <v>43.92</v>
      </c>
      <c r="BR52" s="12">
        <v>46.93</v>
      </c>
      <c r="BS52" s="12">
        <v>46.23</v>
      </c>
      <c r="BT52" s="13">
        <f t="shared" si="4"/>
        <v>44.227999999999994</v>
      </c>
      <c r="BU52" s="13">
        <f t="shared" si="5"/>
        <v>4.3067243103911679</v>
      </c>
    </row>
    <row r="53" spans="1:73">
      <c r="A53" s="2">
        <v>42590</v>
      </c>
      <c r="B53" s="3">
        <v>39.840000000000003</v>
      </c>
      <c r="C53" s="3">
        <v>37.229999999999997</v>
      </c>
      <c r="D53" s="3">
        <v>34.94</v>
      </c>
      <c r="E53" s="3">
        <v>34.630000000000003</v>
      </c>
      <c r="F53" s="3">
        <v>34.21</v>
      </c>
      <c r="G53" s="3">
        <v>38.11</v>
      </c>
      <c r="H53" s="3">
        <v>40.119999999999997</v>
      </c>
      <c r="I53" s="3">
        <v>38.57</v>
      </c>
      <c r="J53" s="3">
        <v>34.590000000000003</v>
      </c>
      <c r="K53" s="3">
        <v>36.119999999999997</v>
      </c>
      <c r="L53" s="3">
        <v>38.119999999999997</v>
      </c>
      <c r="M53" s="3">
        <v>38.54</v>
      </c>
      <c r="N53" s="3">
        <v>36.450000000000003</v>
      </c>
      <c r="O53" s="3">
        <v>35.22</v>
      </c>
      <c r="P53" s="3">
        <v>35.979999999999997</v>
      </c>
      <c r="Q53" s="3">
        <v>36.844666666666669</v>
      </c>
      <c r="R53" s="3">
        <v>1.955804060689496</v>
      </c>
      <c r="T53" s="3">
        <v>26.49</v>
      </c>
      <c r="U53" s="3">
        <v>24.54</v>
      </c>
      <c r="V53" s="3">
        <v>25.76</v>
      </c>
      <c r="W53" s="3">
        <v>28.59</v>
      </c>
      <c r="X53" s="3">
        <v>24.23</v>
      </c>
      <c r="Y53" s="3">
        <v>26.94</v>
      </c>
      <c r="Z53" s="3">
        <v>24.54</v>
      </c>
      <c r="AA53" s="3">
        <v>24.93</v>
      </c>
      <c r="AB53" s="3">
        <v>25.4</v>
      </c>
      <c r="AC53" s="3">
        <v>24.22</v>
      </c>
      <c r="AD53" s="3">
        <v>24.2</v>
      </c>
      <c r="AE53" s="3">
        <v>24.95</v>
      </c>
      <c r="AF53" s="3">
        <v>23.54</v>
      </c>
      <c r="AG53" s="3">
        <v>20.95</v>
      </c>
      <c r="AH53" s="3">
        <f t="shared" si="0"/>
        <v>24.94857142857143</v>
      </c>
      <c r="AI53" s="3">
        <f t="shared" si="1"/>
        <v>1.7623928538860376</v>
      </c>
      <c r="AK53" s="7">
        <v>42590</v>
      </c>
      <c r="AL53" s="8">
        <v>24.45</v>
      </c>
      <c r="AM53" s="8">
        <v>24.65</v>
      </c>
      <c r="AN53" s="8">
        <v>26.34</v>
      </c>
      <c r="AO53" s="8">
        <v>27.85</v>
      </c>
      <c r="AP53" s="8">
        <v>25.34</v>
      </c>
      <c r="AQ53" s="8">
        <v>24.31</v>
      </c>
      <c r="AR53" s="8">
        <v>22.74</v>
      </c>
      <c r="AS53" s="8">
        <v>25.32</v>
      </c>
      <c r="AT53" s="8">
        <v>25.43</v>
      </c>
      <c r="AU53" s="8">
        <v>26.65</v>
      </c>
      <c r="AV53" s="8">
        <v>26.44</v>
      </c>
      <c r="AW53" s="8">
        <v>23.16</v>
      </c>
      <c r="AX53" s="8">
        <v>25.65</v>
      </c>
      <c r="AY53" s="8">
        <v>23.19</v>
      </c>
      <c r="AZ53" s="8">
        <v>23.78</v>
      </c>
      <c r="BA53" s="8">
        <f t="shared" si="2"/>
        <v>25.020000000000003</v>
      </c>
      <c r="BB53" s="8">
        <f t="shared" si="3"/>
        <v>1.4563261016289295</v>
      </c>
      <c r="BD53" s="11">
        <v>42590</v>
      </c>
      <c r="BE53" s="12">
        <v>41.439</v>
      </c>
      <c r="BF53" s="12">
        <v>39.54</v>
      </c>
      <c r="BG53" s="12">
        <v>48.59</v>
      </c>
      <c r="BH53" s="12">
        <v>36.28</v>
      </c>
      <c r="BI53" s="12">
        <v>47.55</v>
      </c>
      <c r="BJ53" s="12">
        <v>47.92</v>
      </c>
      <c r="BK53" s="12">
        <v>49.33</v>
      </c>
      <c r="BL53" s="12">
        <v>48.59</v>
      </c>
      <c r="BM53" s="12">
        <v>40.5</v>
      </c>
      <c r="BN53" s="12">
        <v>40.75</v>
      </c>
      <c r="BO53" s="12">
        <v>48.22</v>
      </c>
      <c r="BP53" s="12">
        <v>46.38</v>
      </c>
      <c r="BQ53" s="12">
        <v>43.96</v>
      </c>
      <c r="BR53" s="12">
        <v>47.95</v>
      </c>
      <c r="BS53" s="12">
        <v>47.06</v>
      </c>
      <c r="BT53" s="13">
        <f t="shared" si="4"/>
        <v>44.93726666666668</v>
      </c>
      <c r="BU53" s="13">
        <f t="shared" si="5"/>
        <v>4.1630919907935642</v>
      </c>
    </row>
    <row r="54" spans="1:73">
      <c r="A54" s="2">
        <v>42597</v>
      </c>
      <c r="B54" s="3">
        <v>39.950000000000003</v>
      </c>
      <c r="C54" s="3">
        <v>38.94</v>
      </c>
      <c r="D54" s="3">
        <v>34.75</v>
      </c>
      <c r="E54" s="3">
        <v>34.229999999999997</v>
      </c>
      <c r="F54" s="3">
        <v>34.85</v>
      </c>
      <c r="G54" s="3">
        <v>38.700000000000003</v>
      </c>
      <c r="H54" s="3">
        <v>39.19</v>
      </c>
      <c r="I54" s="3">
        <v>38.94</v>
      </c>
      <c r="J54" s="3">
        <v>34.11</v>
      </c>
      <c r="K54" s="3">
        <v>34.54</v>
      </c>
      <c r="L54" s="3">
        <v>38.950000000000003</v>
      </c>
      <c r="M54" s="3">
        <v>37.340000000000003</v>
      </c>
      <c r="N54" s="3">
        <v>36.39</v>
      </c>
      <c r="O54" s="3">
        <v>35.909999999999997</v>
      </c>
      <c r="P54" s="3">
        <v>35.409999999999997</v>
      </c>
      <c r="Q54" s="3">
        <v>36.813333333333325</v>
      </c>
      <c r="R54" s="3">
        <v>2.1240314319259794</v>
      </c>
      <c r="T54" s="3">
        <v>26.54</v>
      </c>
      <c r="U54" s="3">
        <v>24.82</v>
      </c>
      <c r="V54" s="3">
        <v>25.65</v>
      </c>
      <c r="W54" s="3">
        <v>28.4</v>
      </c>
      <c r="X54" s="3">
        <v>24.1</v>
      </c>
      <c r="Y54" s="3">
        <v>25.23</v>
      </c>
      <c r="Z54" s="3">
        <v>24.2</v>
      </c>
      <c r="AA54" s="3">
        <v>25.12</v>
      </c>
      <c r="AB54" s="3">
        <v>24.85</v>
      </c>
      <c r="AC54" s="3">
        <v>25.58</v>
      </c>
      <c r="AD54" s="3">
        <v>23.95</v>
      </c>
      <c r="AE54" s="3">
        <v>23.54</v>
      </c>
      <c r="AF54" s="3">
        <v>23.12</v>
      </c>
      <c r="AG54" s="3">
        <v>20.66</v>
      </c>
      <c r="AH54" s="3">
        <f t="shared" si="0"/>
        <v>24.697142857142858</v>
      </c>
      <c r="AI54" s="3">
        <f t="shared" si="1"/>
        <v>1.7668460756231859</v>
      </c>
      <c r="AK54" s="7">
        <v>42597</v>
      </c>
      <c r="AL54" s="8">
        <v>23.22</v>
      </c>
      <c r="AM54" s="8">
        <v>22.23</v>
      </c>
      <c r="AN54" s="8">
        <v>25.1</v>
      </c>
      <c r="AO54" s="8">
        <v>27.54</v>
      </c>
      <c r="AP54" s="8">
        <v>24.39</v>
      </c>
      <c r="AQ54" s="8">
        <v>23.34</v>
      </c>
      <c r="AR54" s="8">
        <v>22.65</v>
      </c>
      <c r="AS54" s="8">
        <v>25.76</v>
      </c>
      <c r="AT54" s="8">
        <v>24.69</v>
      </c>
      <c r="AU54" s="8">
        <v>24.95</v>
      </c>
      <c r="AV54" s="8">
        <v>25.22</v>
      </c>
      <c r="AW54" s="8">
        <v>23.65</v>
      </c>
      <c r="AX54" s="8">
        <v>25.21</v>
      </c>
      <c r="AY54" s="8">
        <v>23.86</v>
      </c>
      <c r="AZ54" s="8">
        <v>24.6</v>
      </c>
      <c r="BA54" s="8">
        <f t="shared" si="2"/>
        <v>24.42733333333333</v>
      </c>
      <c r="BB54" s="8">
        <f t="shared" si="3"/>
        <v>1.3385678202929465</v>
      </c>
      <c r="BD54" s="11">
        <v>42597</v>
      </c>
      <c r="BE54" s="12">
        <v>42.59</v>
      </c>
      <c r="BF54" s="12">
        <v>39.119999999999997</v>
      </c>
      <c r="BG54" s="12">
        <v>48.66</v>
      </c>
      <c r="BH54" s="12">
        <v>36.49</v>
      </c>
      <c r="BI54" s="12">
        <v>47.12</v>
      </c>
      <c r="BJ54" s="12">
        <v>48.65</v>
      </c>
      <c r="BK54" s="12">
        <v>49.68</v>
      </c>
      <c r="BL54" s="12">
        <v>48.66</v>
      </c>
      <c r="BM54" s="12">
        <v>40.229999999999997</v>
      </c>
      <c r="BN54" s="12">
        <v>40.22</v>
      </c>
      <c r="BO54" s="12">
        <v>48.65</v>
      </c>
      <c r="BP54" s="12">
        <v>46.79</v>
      </c>
      <c r="BQ54" s="12">
        <v>44.59</v>
      </c>
      <c r="BR54" s="12">
        <v>46.03</v>
      </c>
      <c r="BS54" s="12">
        <v>49.65</v>
      </c>
      <c r="BT54" s="13">
        <f t="shared" si="4"/>
        <v>45.142000000000003</v>
      </c>
      <c r="BU54" s="13">
        <f t="shared" si="5"/>
        <v>4.3423992709758306</v>
      </c>
    </row>
    <row r="55" spans="1:73">
      <c r="A55" s="2">
        <v>42603</v>
      </c>
      <c r="B55" s="3">
        <v>38.229999999999997</v>
      </c>
      <c r="C55" s="3">
        <v>39.4</v>
      </c>
      <c r="D55" s="3">
        <v>33.28</v>
      </c>
      <c r="E55" s="3">
        <v>34.78</v>
      </c>
      <c r="F55" s="3">
        <v>34.19</v>
      </c>
      <c r="G55" s="3">
        <v>38.93</v>
      </c>
      <c r="H55" s="3">
        <v>39.56</v>
      </c>
      <c r="I55" s="3">
        <v>38.17</v>
      </c>
      <c r="J55" s="3">
        <v>34.950000000000003</v>
      </c>
      <c r="K55" s="3">
        <v>35.33</v>
      </c>
      <c r="L55" s="3">
        <v>38.44</v>
      </c>
      <c r="M55" s="3">
        <v>34.909999999999997</v>
      </c>
      <c r="N55" s="3">
        <v>36.1</v>
      </c>
      <c r="O55" s="3">
        <v>35.49</v>
      </c>
      <c r="P55" s="3">
        <v>35.94</v>
      </c>
      <c r="Q55" s="3">
        <v>36.513333333333335</v>
      </c>
      <c r="R55" s="3">
        <v>2.0646226451016823</v>
      </c>
      <c r="T55" s="3">
        <v>26.69</v>
      </c>
      <c r="U55" s="3">
        <v>24.55</v>
      </c>
      <c r="V55" s="3">
        <v>26.34</v>
      </c>
      <c r="W55" s="3">
        <v>25.94</v>
      </c>
      <c r="X55" s="3">
        <v>24.12</v>
      </c>
      <c r="Y55" s="3">
        <v>22.12</v>
      </c>
      <c r="Z55" s="3">
        <v>24.95</v>
      </c>
      <c r="AA55" s="3">
        <v>24.58</v>
      </c>
      <c r="AB55" s="3">
        <v>23.95</v>
      </c>
      <c r="AC55" s="3">
        <v>23.7</v>
      </c>
      <c r="AD55" s="3">
        <v>22.45</v>
      </c>
      <c r="AE55" s="3">
        <v>22.65</v>
      </c>
      <c r="AF55" s="3">
        <v>23.65</v>
      </c>
      <c r="AG55" s="3">
        <v>20.21</v>
      </c>
      <c r="AH55" s="3">
        <f t="shared" si="0"/>
        <v>23.992857142857133</v>
      </c>
      <c r="AI55" s="3">
        <f t="shared" si="1"/>
        <v>1.7621858304670657</v>
      </c>
      <c r="AK55" s="7">
        <v>42603</v>
      </c>
      <c r="AL55" s="8">
        <v>23.65</v>
      </c>
      <c r="AM55" s="8">
        <v>22.66</v>
      </c>
      <c r="AN55" s="8">
        <v>25.04</v>
      </c>
      <c r="AO55" s="8">
        <v>25.43</v>
      </c>
      <c r="AP55" s="8">
        <v>24.06</v>
      </c>
      <c r="AQ55" s="8">
        <v>23.11</v>
      </c>
      <c r="AR55" s="8">
        <v>22.12</v>
      </c>
      <c r="AS55" s="8">
        <v>23.94</v>
      </c>
      <c r="AT55" s="8">
        <v>23.39</v>
      </c>
      <c r="AU55" s="8">
        <v>23.36</v>
      </c>
      <c r="AV55" s="8">
        <v>23.76</v>
      </c>
      <c r="AW55" s="8">
        <v>23.12</v>
      </c>
      <c r="AX55" s="8">
        <v>25.49</v>
      </c>
      <c r="AY55" s="8">
        <v>23.12</v>
      </c>
      <c r="AZ55" s="8">
        <v>24.12</v>
      </c>
      <c r="BA55" s="8">
        <f t="shared" si="2"/>
        <v>23.757999999999999</v>
      </c>
      <c r="BB55" s="8">
        <f t="shared" si="3"/>
        <v>0.96815140492442708</v>
      </c>
      <c r="BD55" s="11">
        <v>42603</v>
      </c>
      <c r="BE55" s="12">
        <v>43.363999999999997</v>
      </c>
      <c r="BF55" s="12">
        <v>39.020000000000003</v>
      </c>
      <c r="BG55" s="12">
        <v>48.29</v>
      </c>
      <c r="BH55" s="12">
        <v>36.79</v>
      </c>
      <c r="BI55" s="12">
        <v>48.56</v>
      </c>
      <c r="BJ55" s="12">
        <v>48.13</v>
      </c>
      <c r="BK55" s="12">
        <v>49.46</v>
      </c>
      <c r="BL55" s="12">
        <v>48.29</v>
      </c>
      <c r="BM55" s="12">
        <v>40.229999999999997</v>
      </c>
      <c r="BN55" s="12">
        <v>40.75</v>
      </c>
      <c r="BO55" s="12">
        <v>48.28</v>
      </c>
      <c r="BP55" s="12">
        <v>46.32</v>
      </c>
      <c r="BQ55" s="12">
        <v>44.66</v>
      </c>
      <c r="BR55" s="12">
        <v>47.56</v>
      </c>
      <c r="BS55" s="12">
        <v>49.33</v>
      </c>
      <c r="BT55" s="13">
        <f t="shared" si="4"/>
        <v>45.268933333333329</v>
      </c>
      <c r="BU55" s="13">
        <f t="shared" si="5"/>
        <v>4.2045954360618794</v>
      </c>
    </row>
    <row r="56" spans="1:73">
      <c r="A56" s="2">
        <v>42610</v>
      </c>
      <c r="B56" s="3">
        <v>38.43</v>
      </c>
      <c r="C56" s="3">
        <v>39.01</v>
      </c>
      <c r="D56" s="3">
        <v>33.81</v>
      </c>
      <c r="E56" s="3">
        <v>34.65</v>
      </c>
      <c r="F56" s="3">
        <v>34.85</v>
      </c>
      <c r="G56" s="3">
        <v>38.54</v>
      </c>
      <c r="H56" s="3">
        <v>39.65</v>
      </c>
      <c r="I56" s="3">
        <v>38.549999999999997</v>
      </c>
      <c r="J56" s="3">
        <v>34.82</v>
      </c>
      <c r="K56" s="3">
        <v>33.04</v>
      </c>
      <c r="L56" s="3">
        <v>38.119999999999997</v>
      </c>
      <c r="M56" s="3">
        <v>33.119999999999997</v>
      </c>
      <c r="N56" s="3">
        <v>36.54</v>
      </c>
      <c r="O56" s="3">
        <v>35.11</v>
      </c>
      <c r="P56" s="3">
        <v>35.24</v>
      </c>
      <c r="Q56" s="3">
        <v>36.231999999999999</v>
      </c>
      <c r="R56" s="3">
        <v>2.2831594650521323</v>
      </c>
      <c r="T56" s="3">
        <v>24.84</v>
      </c>
      <c r="U56" s="3">
        <v>23.12</v>
      </c>
      <c r="V56" s="3">
        <v>25.94</v>
      </c>
      <c r="W56" s="3">
        <v>23.12</v>
      </c>
      <c r="X56" s="3">
        <v>24.48</v>
      </c>
      <c r="Y56" s="3">
        <v>21.72</v>
      </c>
      <c r="Z56" s="3">
        <v>22.32</v>
      </c>
      <c r="AA56" s="3">
        <v>22.04</v>
      </c>
      <c r="AB56" s="3">
        <v>22.43</v>
      </c>
      <c r="AC56" s="3">
        <v>22.32</v>
      </c>
      <c r="AD56" s="3">
        <v>21.62</v>
      </c>
      <c r="AE56" s="3">
        <v>22.23</v>
      </c>
      <c r="AF56" s="3">
        <v>22.43</v>
      </c>
      <c r="AG56" s="3">
        <v>20.67</v>
      </c>
      <c r="AH56" s="3">
        <f t="shared" si="0"/>
        <v>22.805714285714288</v>
      </c>
      <c r="AI56" s="3">
        <f t="shared" si="1"/>
        <v>1.4082379294473168</v>
      </c>
      <c r="AK56" s="7">
        <v>42610</v>
      </c>
      <c r="AL56" s="8">
        <v>23.76</v>
      </c>
      <c r="AM56" s="8">
        <v>22.32</v>
      </c>
      <c r="AN56" s="8">
        <v>25.44</v>
      </c>
      <c r="AO56" s="8">
        <v>24.21</v>
      </c>
      <c r="AP56" s="8">
        <v>24.43</v>
      </c>
      <c r="AQ56" s="8">
        <v>22.43</v>
      </c>
      <c r="AR56" s="8">
        <v>22.65</v>
      </c>
      <c r="AS56" s="8">
        <v>23.34</v>
      </c>
      <c r="AT56" s="8">
        <v>23.23</v>
      </c>
      <c r="AU56" s="8">
        <v>23.54</v>
      </c>
      <c r="AV56" s="8">
        <v>23.43</v>
      </c>
      <c r="AW56" s="8">
        <v>23.53</v>
      </c>
      <c r="AX56" s="8">
        <v>25.65</v>
      </c>
      <c r="AY56" s="8">
        <v>23.65</v>
      </c>
      <c r="AZ56" s="8">
        <v>23.65</v>
      </c>
      <c r="BA56" s="8">
        <f t="shared" si="2"/>
        <v>23.68399999999999</v>
      </c>
      <c r="BB56" s="8">
        <f t="shared" si="3"/>
        <v>0.95339843267574742</v>
      </c>
      <c r="BD56" s="11">
        <v>42610</v>
      </c>
      <c r="BE56" s="12">
        <v>43.433</v>
      </c>
      <c r="BF56" s="12">
        <v>39.54</v>
      </c>
      <c r="BG56" s="12">
        <v>48.54</v>
      </c>
      <c r="BH56" s="12">
        <v>36.909999999999997</v>
      </c>
      <c r="BI56" s="12">
        <v>48.79</v>
      </c>
      <c r="BJ56" s="12">
        <v>48.65</v>
      </c>
      <c r="BK56" s="12">
        <v>49.64</v>
      </c>
      <c r="BL56" s="12">
        <v>48.54</v>
      </c>
      <c r="BM56" s="12">
        <v>40.65</v>
      </c>
      <c r="BN56" s="12">
        <v>40.229999999999997</v>
      </c>
      <c r="BO56" s="12">
        <v>49.54</v>
      </c>
      <c r="BP56" s="12">
        <v>46.34</v>
      </c>
      <c r="BQ56" s="12">
        <v>45.23</v>
      </c>
      <c r="BR56" s="12">
        <v>48.55</v>
      </c>
      <c r="BS56" s="12">
        <v>49.23</v>
      </c>
      <c r="BT56" s="13">
        <f t="shared" si="4"/>
        <v>45.587533333333333</v>
      </c>
      <c r="BU56" s="13">
        <f t="shared" si="5"/>
        <v>4.3214379033350641</v>
      </c>
    </row>
    <row r="57" spans="1:73">
      <c r="A57" s="2">
        <v>42617</v>
      </c>
      <c r="B57" s="3">
        <v>37.35</v>
      </c>
      <c r="C57" s="3">
        <v>38.54</v>
      </c>
      <c r="D57" s="3">
        <v>34.65</v>
      </c>
      <c r="E57" s="3">
        <v>32.119999999999997</v>
      </c>
      <c r="F57" s="3">
        <v>34.76</v>
      </c>
      <c r="G57" s="3">
        <v>37.630000000000003</v>
      </c>
      <c r="H57" s="3">
        <v>39.22</v>
      </c>
      <c r="I57" s="3">
        <v>37.630000000000003</v>
      </c>
      <c r="J57" s="3">
        <v>35.409999999999997</v>
      </c>
      <c r="K57" s="3">
        <v>33.47</v>
      </c>
      <c r="L57" s="3">
        <v>38.65</v>
      </c>
      <c r="M57" s="3">
        <v>33.46</v>
      </c>
      <c r="N57" s="3">
        <v>36.119999999999997</v>
      </c>
      <c r="O57" s="3">
        <v>35.880000000000003</v>
      </c>
      <c r="P57" s="3">
        <v>35.46</v>
      </c>
      <c r="Q57" s="3">
        <v>36.023333333333326</v>
      </c>
      <c r="R57" s="3">
        <v>2.1197394269332355</v>
      </c>
      <c r="T57" s="3">
        <v>21.49</v>
      </c>
      <c r="U57" s="3">
        <v>22.12</v>
      </c>
      <c r="V57" s="3">
        <v>22.23</v>
      </c>
      <c r="W57" s="3">
        <v>20.54</v>
      </c>
      <c r="X57" s="3">
        <v>21.33</v>
      </c>
      <c r="Y57" s="3">
        <v>21.69</v>
      </c>
      <c r="Z57" s="3">
        <v>21.12</v>
      </c>
      <c r="AA57" s="3">
        <v>20.54</v>
      </c>
      <c r="AB57" s="3">
        <v>20.54</v>
      </c>
      <c r="AC57" s="3">
        <v>21.54</v>
      </c>
      <c r="AD57" s="3">
        <v>21.56</v>
      </c>
      <c r="AE57" s="3">
        <v>21.43</v>
      </c>
      <c r="AF57" s="3">
        <v>21.54</v>
      </c>
      <c r="AG57" s="3">
        <v>19.399999999999999</v>
      </c>
      <c r="AH57" s="3">
        <f t="shared" si="0"/>
        <v>21.219285714285714</v>
      </c>
      <c r="AI57" s="3">
        <f t="shared" si="1"/>
        <v>0.74472983522384018</v>
      </c>
      <c r="AK57" s="2">
        <v>42617</v>
      </c>
      <c r="AL57" s="8">
        <v>23.54</v>
      </c>
      <c r="AM57" s="8">
        <v>22.12</v>
      </c>
      <c r="AN57" s="8">
        <v>25.23</v>
      </c>
      <c r="AO57" s="8">
        <v>24.11</v>
      </c>
      <c r="AP57" s="8">
        <v>24.65</v>
      </c>
      <c r="AQ57" s="8">
        <v>21.54</v>
      </c>
      <c r="AR57" s="8">
        <v>22.65</v>
      </c>
      <c r="AS57" s="8">
        <v>23.12</v>
      </c>
      <c r="AT57" s="8">
        <v>23.43</v>
      </c>
      <c r="AU57" s="8">
        <v>23.22</v>
      </c>
      <c r="AV57" s="8">
        <v>23.41</v>
      </c>
      <c r="AW57" s="8">
        <v>23.22</v>
      </c>
      <c r="AX57" s="8">
        <v>25.42</v>
      </c>
      <c r="AY57" s="8">
        <v>23.23</v>
      </c>
      <c r="AZ57" s="8">
        <v>23.34</v>
      </c>
      <c r="BA57" s="8">
        <f t="shared" si="2"/>
        <v>23.482000000000003</v>
      </c>
      <c r="BB57" s="8">
        <f t="shared" si="3"/>
        <v>1.0437514756191455</v>
      </c>
      <c r="BD57" s="11">
        <v>42617</v>
      </c>
      <c r="BE57" s="12">
        <v>44.65</v>
      </c>
      <c r="BF57" s="12">
        <v>40.65</v>
      </c>
      <c r="BG57" s="12">
        <v>49.23</v>
      </c>
      <c r="BH57" s="12">
        <v>38.44</v>
      </c>
      <c r="BI57" s="12">
        <v>49.02</v>
      </c>
      <c r="BJ57" s="12">
        <v>49.23</v>
      </c>
      <c r="BK57" s="12">
        <v>49.23</v>
      </c>
      <c r="BL57" s="12">
        <v>49.64</v>
      </c>
      <c r="BM57" s="12">
        <v>43.65</v>
      </c>
      <c r="BN57" s="12">
        <v>45.29</v>
      </c>
      <c r="BO57" s="12">
        <v>49.11</v>
      </c>
      <c r="BP57" s="12">
        <v>48.63</v>
      </c>
      <c r="BQ57" s="12">
        <v>48.11</v>
      </c>
      <c r="BR57" s="12">
        <v>49.64</v>
      </c>
      <c r="BS57" s="12">
        <v>50.62</v>
      </c>
      <c r="BT57" s="13">
        <f t="shared" si="4"/>
        <v>47.009333333333338</v>
      </c>
      <c r="BU57" s="13">
        <f t="shared" si="5"/>
        <v>3.6610663291815224</v>
      </c>
    </row>
    <row r="58" spans="1:7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1" t="s">
        <v>44</v>
      </c>
      <c r="R58" s="1" t="s">
        <v>45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s">
        <v>24</v>
      </c>
      <c r="AI58" s="1" t="s">
        <v>51</v>
      </c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6" t="s">
        <v>24</v>
      </c>
      <c r="BB58" s="6" t="s">
        <v>25</v>
      </c>
    </row>
    <row r="59" spans="1:73">
      <c r="A59" s="2">
        <v>42254</v>
      </c>
      <c r="B59" s="3">
        <v>0.98330027357706573</v>
      </c>
      <c r="C59" s="3">
        <v>0.99057948596628509</v>
      </c>
      <c r="D59" s="3">
        <v>0.94387120646879352</v>
      </c>
      <c r="E59" s="3">
        <v>0.99057948596628509</v>
      </c>
      <c r="F59" s="3">
        <v>0.93719859511200887</v>
      </c>
      <c r="G59" s="3">
        <v>1.0178765324258583</v>
      </c>
      <c r="H59" s="3">
        <v>0.92506657446330975</v>
      </c>
      <c r="I59" s="3">
        <v>0.99361249112845995</v>
      </c>
      <c r="J59" s="3">
        <v>0.91839396310652532</v>
      </c>
      <c r="K59" s="3">
        <v>0.99421909216089499</v>
      </c>
      <c r="L59" s="3">
        <v>0.92567317549574479</v>
      </c>
      <c r="M59" s="3">
        <v>1.0057445117771591</v>
      </c>
      <c r="N59" s="3">
        <v>1.0215161386204681</v>
      </c>
      <c r="O59" s="3">
        <v>0.97723426325271612</v>
      </c>
      <c r="P59" s="3">
        <v>0.95903623227966739</v>
      </c>
      <c r="Q59" s="3">
        <v>0.97226013478674944</v>
      </c>
      <c r="R59" s="3">
        <v>3.4737188522377366E-2</v>
      </c>
      <c r="T59" s="3">
        <f t="shared" ref="T59:AG59" si="6">T5/16.4853</f>
        <v>1.0482065840476062</v>
      </c>
      <c r="U59" s="3">
        <f t="shared" si="6"/>
        <v>0.92749297859304958</v>
      </c>
      <c r="V59" s="3">
        <f t="shared" si="6"/>
        <v>1.0014983045501145</v>
      </c>
      <c r="W59" s="3">
        <f t="shared" si="6"/>
        <v>1.0002851024852444</v>
      </c>
      <c r="X59" s="3">
        <f t="shared" si="6"/>
        <v>0.91718076104165536</v>
      </c>
      <c r="Y59" s="3">
        <f t="shared" si="6"/>
        <v>0.93901839820931388</v>
      </c>
      <c r="Z59" s="3">
        <f t="shared" si="6"/>
        <v>0.92991938272278951</v>
      </c>
      <c r="AA59" s="3">
        <f t="shared" si="6"/>
        <v>0.92749297859304958</v>
      </c>
      <c r="AB59" s="3">
        <f t="shared" si="6"/>
        <v>0.93477219098226916</v>
      </c>
      <c r="AC59" s="3">
        <f t="shared" si="6"/>
        <v>1.0445669778529962</v>
      </c>
      <c r="AD59" s="3">
        <f t="shared" si="6"/>
        <v>0.93355898891739919</v>
      </c>
      <c r="AE59" s="3">
        <f t="shared" si="6"/>
        <v>0.93901839820931388</v>
      </c>
      <c r="AF59" s="3">
        <f t="shared" si="6"/>
        <v>1.0645848119233501</v>
      </c>
      <c r="AG59" s="3">
        <f t="shared" si="6"/>
        <v>0.99179268803115517</v>
      </c>
      <c r="AH59" s="3">
        <f>AVERAGE(S59:AG59)</f>
        <v>0.97138489615423629</v>
      </c>
      <c r="AI59" s="3">
        <f>STDEV(S59:AG59)</f>
        <v>5.2241214285990871E-2</v>
      </c>
      <c r="AK59" s="9">
        <v>42254</v>
      </c>
      <c r="AL59" s="8">
        <f>AL5/16.4853</f>
        <v>0.98330027357706573</v>
      </c>
      <c r="AM59" s="8">
        <f t="shared" ref="AM59:AZ59" si="7">AM5/16.4853</f>
        <v>1.0512395892097808</v>
      </c>
      <c r="AN59" s="8">
        <f t="shared" si="7"/>
        <v>1.0651914129557849</v>
      </c>
      <c r="AO59" s="8">
        <f t="shared" si="7"/>
        <v>0.99057948596628509</v>
      </c>
      <c r="AP59" s="8">
        <f t="shared" si="7"/>
        <v>0.92324677136600497</v>
      </c>
      <c r="AQ59" s="8">
        <f t="shared" si="7"/>
        <v>1.0033181076474191</v>
      </c>
      <c r="AR59" s="8">
        <f t="shared" si="7"/>
        <v>1.0148435272636835</v>
      </c>
      <c r="AS59" s="8">
        <f t="shared" si="7"/>
        <v>1.038500967528647</v>
      </c>
      <c r="AT59" s="8">
        <f t="shared" si="7"/>
        <v>1.0318283561718624</v>
      </c>
      <c r="AU59" s="8">
        <f t="shared" si="7"/>
        <v>1.0148435272636835</v>
      </c>
      <c r="AV59" s="8">
        <f t="shared" si="7"/>
        <v>0.96085603537697228</v>
      </c>
      <c r="AW59" s="8">
        <f t="shared" si="7"/>
        <v>0.97602106118784626</v>
      </c>
      <c r="AX59" s="8">
        <f t="shared" si="7"/>
        <v>0.97177485396080154</v>
      </c>
      <c r="AY59" s="8">
        <f t="shared" si="7"/>
        <v>0.97359465705810644</v>
      </c>
      <c r="AZ59" s="8">
        <f t="shared" si="7"/>
        <v>0.91839396310652532</v>
      </c>
      <c r="BA59" s="8">
        <f>AVERAGE(AL59:AZ59)</f>
        <v>0.99450217264269791</v>
      </c>
      <c r="BB59" s="8">
        <f>STDEV(AL59:AZ59)</f>
        <v>4.3002021736441243E-2</v>
      </c>
    </row>
    <row r="60" spans="1:73">
      <c r="A60" s="2">
        <v>42261</v>
      </c>
      <c r="B60" s="3">
        <v>0.98115302474975508</v>
      </c>
      <c r="C60" s="3">
        <v>0.97945356800942629</v>
      </c>
      <c r="D60" s="3">
        <v>0.98341896707019327</v>
      </c>
      <c r="E60" s="3">
        <v>0.98115302474975508</v>
      </c>
      <c r="F60" s="3">
        <v>0.91827312535759409</v>
      </c>
      <c r="G60" s="3">
        <v>0.98171951032986449</v>
      </c>
      <c r="H60" s="3">
        <v>1.0723572031473938</v>
      </c>
      <c r="I60" s="3">
        <v>0.97945356800942629</v>
      </c>
      <c r="J60" s="3">
        <v>0.99984704889337039</v>
      </c>
      <c r="K60" s="3">
        <v>0.98115302474975508</v>
      </c>
      <c r="L60" s="3">
        <v>1.0066448758546851</v>
      </c>
      <c r="M60" s="3">
        <v>0.97718762568898809</v>
      </c>
      <c r="N60" s="3">
        <v>1.0151421595563286</v>
      </c>
      <c r="O60" s="3">
        <v>1.0666923473462981</v>
      </c>
      <c r="P60" s="3">
        <v>0.97662114010887846</v>
      </c>
      <c r="Q60" s="3">
        <v>0.99335134757478083</v>
      </c>
      <c r="R60" s="3">
        <v>3.7377542713565887E-2</v>
      </c>
      <c r="T60" s="5">
        <f t="shared" ref="T60:AG60" si="8">T6/17.6527</f>
        <v>0.94546443320285289</v>
      </c>
      <c r="U60" s="5">
        <f t="shared" si="8"/>
        <v>0.91997258209792265</v>
      </c>
      <c r="V60" s="5">
        <f t="shared" si="8"/>
        <v>0.98455193823041232</v>
      </c>
      <c r="W60" s="5">
        <f t="shared" si="8"/>
        <v>0.98228599590997412</v>
      </c>
      <c r="X60" s="5">
        <f t="shared" si="8"/>
        <v>0.99021679403150797</v>
      </c>
      <c r="Y60" s="5">
        <f t="shared" si="8"/>
        <v>0.9975811065729322</v>
      </c>
      <c r="Z60" s="5">
        <f t="shared" si="8"/>
        <v>0.91827312535759409</v>
      </c>
      <c r="AA60" s="5">
        <f t="shared" si="8"/>
        <v>0.92846986579956614</v>
      </c>
      <c r="AB60" s="5">
        <f t="shared" si="8"/>
        <v>0.98398545265030291</v>
      </c>
      <c r="AC60" s="5">
        <f t="shared" si="8"/>
        <v>1.0157086451364381</v>
      </c>
      <c r="AD60" s="5">
        <f t="shared" si="8"/>
        <v>0.93356823602055217</v>
      </c>
      <c r="AE60" s="5">
        <f t="shared" si="8"/>
        <v>0.98795085171106978</v>
      </c>
      <c r="AF60" s="5">
        <f t="shared" si="8"/>
        <v>0.99078327961161738</v>
      </c>
      <c r="AG60" s="5">
        <f t="shared" si="8"/>
        <v>0.92280500999847048</v>
      </c>
      <c r="AH60" s="3">
        <f t="shared" ref="AH60:AH111" si="9">AVERAGE(S60:AG60)</f>
        <v>0.96440123688080093</v>
      </c>
      <c r="AI60" s="3">
        <f t="shared" ref="AI60:AI111" si="10">STDEV(S60:AG60)</f>
        <v>3.4185179349947803E-2</v>
      </c>
      <c r="AK60" s="9">
        <v>42261</v>
      </c>
      <c r="AL60" s="8">
        <f>AL6/17.6527</f>
        <v>0.98115302474975508</v>
      </c>
      <c r="AM60" s="8">
        <f t="shared" ref="AM60:AZ60" si="11">AM6/17.6527</f>
        <v>1.0327032125397249</v>
      </c>
      <c r="AN60" s="8">
        <f t="shared" si="11"/>
        <v>1.0400675250811491</v>
      </c>
      <c r="AO60" s="8">
        <f t="shared" si="11"/>
        <v>0.99474867867238437</v>
      </c>
      <c r="AP60" s="8">
        <f t="shared" si="11"/>
        <v>0.95226226016416748</v>
      </c>
      <c r="AQ60" s="8">
        <f t="shared" si="11"/>
        <v>0.9749216833685499</v>
      </c>
      <c r="AR60" s="8">
        <f t="shared" si="11"/>
        <v>0.9635919717663588</v>
      </c>
      <c r="AS60" s="8">
        <f t="shared" si="11"/>
        <v>1.0315702413795058</v>
      </c>
      <c r="AT60" s="8">
        <f t="shared" si="11"/>
        <v>0.99361570751216521</v>
      </c>
      <c r="AU60" s="8">
        <f t="shared" si="11"/>
        <v>0.95226226016416748</v>
      </c>
      <c r="AV60" s="8">
        <f t="shared" si="11"/>
        <v>1.03893455392093</v>
      </c>
      <c r="AW60" s="8">
        <f t="shared" si="11"/>
        <v>1.0111767604955617</v>
      </c>
      <c r="AX60" s="8">
        <f t="shared" si="11"/>
        <v>0.98115302474975508</v>
      </c>
      <c r="AY60" s="8">
        <f t="shared" si="11"/>
        <v>0.98228599590997412</v>
      </c>
      <c r="AZ60" s="8">
        <f t="shared" si="11"/>
        <v>0.90241152911452638</v>
      </c>
      <c r="BA60" s="8">
        <f t="shared" ref="BA60:BA111" si="12">AVERAGE(AL60:AZ60)</f>
        <v>0.98885722863924519</v>
      </c>
      <c r="BB60" s="8">
        <f t="shared" ref="BB60:BB111" si="13">STDEV(AL60:AZ60)</f>
        <v>3.8338980704852324E-2</v>
      </c>
    </row>
    <row r="61" spans="1:73">
      <c r="A61" s="2">
        <v>42268</v>
      </c>
      <c r="B61" s="3">
        <v>0.98114905387372364</v>
      </c>
      <c r="C61" s="3">
        <v>1.0143823464749702</v>
      </c>
      <c r="D61" s="3">
        <v>0.94638191699857355</v>
      </c>
      <c r="E61" s="3">
        <v>0.93359988138270944</v>
      </c>
      <c r="F61" s="3">
        <v>0.94229166560149691</v>
      </c>
      <c r="G61" s="3">
        <v>0.96325420401151396</v>
      </c>
      <c r="H61" s="3">
        <v>0.99955518516056785</v>
      </c>
      <c r="I61" s="3">
        <v>1.0281869449401033</v>
      </c>
      <c r="J61" s="3">
        <v>1.0389238548574291</v>
      </c>
      <c r="K61" s="3">
        <v>0.98472802384616565</v>
      </c>
      <c r="L61" s="3">
        <v>1.0046679994069134</v>
      </c>
      <c r="M61" s="3">
        <v>1.0603976746920807</v>
      </c>
      <c r="N61" s="3">
        <v>1.0557961418703696</v>
      </c>
      <c r="O61" s="3">
        <v>0.92644194143782554</v>
      </c>
      <c r="P61" s="3">
        <v>1.0056905622561827</v>
      </c>
      <c r="Q61" s="3">
        <v>0.99236315978737522</v>
      </c>
      <c r="R61" s="3">
        <v>4.3441932345638298E-2</v>
      </c>
      <c r="T61" s="3">
        <f t="shared" ref="T61:AG61" si="14">T7/19.5587</f>
        <v>0.9330885999580748</v>
      </c>
      <c r="U61" s="3">
        <f t="shared" si="14"/>
        <v>0.9438255098754007</v>
      </c>
      <c r="V61" s="3">
        <f t="shared" si="14"/>
        <v>0.89218608598730986</v>
      </c>
      <c r="W61" s="3">
        <f t="shared" si="14"/>
        <v>1.0031341551330097</v>
      </c>
      <c r="X61" s="3">
        <f t="shared" si="14"/>
        <v>0.90650196587707765</v>
      </c>
      <c r="Y61" s="3">
        <f t="shared" si="14"/>
        <v>0.9310434742595366</v>
      </c>
      <c r="Z61" s="3">
        <f t="shared" si="14"/>
        <v>0.9985326223112988</v>
      </c>
      <c r="AA61" s="3">
        <f t="shared" si="14"/>
        <v>1.0384125734327945</v>
      </c>
      <c r="AB61" s="3">
        <f t="shared" si="14"/>
        <v>0.99137468236641491</v>
      </c>
      <c r="AC61" s="3">
        <f t="shared" si="14"/>
        <v>1.0010890294344714</v>
      </c>
      <c r="AD61" s="3">
        <f t="shared" si="14"/>
        <v>1.0189838792966812</v>
      </c>
      <c r="AE61" s="3">
        <f t="shared" si="14"/>
        <v>0.94484807272466975</v>
      </c>
      <c r="AF61" s="3">
        <f t="shared" si="14"/>
        <v>0.94689319842320796</v>
      </c>
      <c r="AG61" s="3">
        <f t="shared" si="14"/>
        <v>0.94996088697101533</v>
      </c>
      <c r="AH61" s="3">
        <f t="shared" si="9"/>
        <v>0.96427676686078301</v>
      </c>
      <c r="AI61" s="3">
        <f t="shared" si="10"/>
        <v>4.4007686609906192E-2</v>
      </c>
      <c r="AK61" s="9">
        <v>42268</v>
      </c>
      <c r="AL61" s="8">
        <f>AL7/19.5587</f>
        <v>0.93002091141026755</v>
      </c>
      <c r="AM61" s="8">
        <f t="shared" ref="AM61:AZ61" si="15">AM7/19.5587</f>
        <v>1.0649992075137917</v>
      </c>
      <c r="AN61" s="8">
        <f t="shared" si="15"/>
        <v>0.99751005946202964</v>
      </c>
      <c r="AO61" s="8">
        <f t="shared" si="15"/>
        <v>0.97961520959981996</v>
      </c>
      <c r="AP61" s="8">
        <f t="shared" si="15"/>
        <v>0.92286297146538365</v>
      </c>
      <c r="AQ61" s="8">
        <f t="shared" si="15"/>
        <v>0.97910392817518532</v>
      </c>
      <c r="AR61" s="8">
        <f t="shared" si="15"/>
        <v>0.9785926467505508</v>
      </c>
      <c r="AS61" s="8">
        <f t="shared" si="15"/>
        <v>0.97654752105201259</v>
      </c>
      <c r="AT61" s="8">
        <f t="shared" si="15"/>
        <v>1.0240966935430269</v>
      </c>
      <c r="AU61" s="8">
        <f t="shared" si="15"/>
        <v>0.95353985694345722</v>
      </c>
      <c r="AV61" s="8">
        <f t="shared" si="15"/>
        <v>0.97347983250420511</v>
      </c>
      <c r="AW61" s="8">
        <f t="shared" si="15"/>
        <v>1.0230741306937579</v>
      </c>
      <c r="AX61" s="8">
        <f t="shared" si="15"/>
        <v>1.0240966935430269</v>
      </c>
      <c r="AY61" s="8">
        <f t="shared" si="15"/>
        <v>1.029720789214007</v>
      </c>
      <c r="AZ61" s="8">
        <f t="shared" si="15"/>
        <v>0.97194598823030165</v>
      </c>
      <c r="BA61" s="8">
        <f t="shared" si="12"/>
        <v>0.9886137626733883</v>
      </c>
      <c r="BB61" s="8">
        <f t="shared" si="13"/>
        <v>3.8932182497404648E-2</v>
      </c>
    </row>
    <row r="62" spans="1:73">
      <c r="A62" s="2">
        <v>42275</v>
      </c>
      <c r="B62" s="3">
        <v>0.94439748285902125</v>
      </c>
      <c r="C62" s="3">
        <v>0.96459096459096449</v>
      </c>
      <c r="D62" s="3">
        <v>0.91340283647975951</v>
      </c>
      <c r="E62" s="3">
        <v>0.96693904386212071</v>
      </c>
      <c r="F62" s="3">
        <v>0.91997745843899692</v>
      </c>
      <c r="G62" s="3">
        <v>0.96459096459096449</v>
      </c>
      <c r="H62" s="3">
        <v>0.99840330609561379</v>
      </c>
      <c r="I62" s="3">
        <v>1.0533483610406686</v>
      </c>
      <c r="J62" s="3">
        <v>0.99699445853292001</v>
      </c>
      <c r="K62" s="3">
        <v>1.0124917817225509</v>
      </c>
      <c r="L62" s="3">
        <v>1.0256410256410255</v>
      </c>
      <c r="M62" s="3">
        <v>0.99182868413637648</v>
      </c>
      <c r="N62" s="3">
        <v>0.97867944021790176</v>
      </c>
      <c r="O62" s="3">
        <v>1.044425659810275</v>
      </c>
      <c r="P62" s="3">
        <v>0.95425941579787732</v>
      </c>
      <c r="Q62" s="3">
        <v>0.98199805892113545</v>
      </c>
      <c r="R62" s="3">
        <v>4.1397211834315939E-2</v>
      </c>
      <c r="T62" s="3">
        <f t="shared" ref="T62:AG62" si="16">T8/21.294</f>
        <v>0.96083403775711473</v>
      </c>
      <c r="U62" s="3">
        <f t="shared" si="16"/>
        <v>0.97914905607213309</v>
      </c>
      <c r="V62" s="3">
        <f t="shared" si="16"/>
        <v>0.94909364140133368</v>
      </c>
      <c r="W62" s="3">
        <f t="shared" si="16"/>
        <v>0.97163520240443324</v>
      </c>
      <c r="X62" s="3">
        <f t="shared" si="16"/>
        <v>0.96693904386212071</v>
      </c>
      <c r="Y62" s="3">
        <f t="shared" si="16"/>
        <v>0.96365173288250205</v>
      </c>
      <c r="Z62" s="3">
        <f t="shared" si="16"/>
        <v>0.99793369024138256</v>
      </c>
      <c r="AA62" s="3">
        <f t="shared" si="16"/>
        <v>0.9688175072790457</v>
      </c>
      <c r="AB62" s="3">
        <f t="shared" si="16"/>
        <v>0.95895557434018974</v>
      </c>
      <c r="AC62" s="3">
        <f t="shared" si="16"/>
        <v>1.00450831220062</v>
      </c>
      <c r="AD62" s="3">
        <f t="shared" si="16"/>
        <v>1.0514698976237438</v>
      </c>
      <c r="AE62" s="3">
        <f t="shared" si="16"/>
        <v>0.94627594627594613</v>
      </c>
      <c r="AF62" s="3">
        <f t="shared" si="16"/>
        <v>1.0293979524748755</v>
      </c>
      <c r="AG62" s="3">
        <f t="shared" si="16"/>
        <v>0.96224288531980828</v>
      </c>
      <c r="AH62" s="3">
        <f t="shared" si="9"/>
        <v>0.97935032000966071</v>
      </c>
      <c r="AI62" s="3">
        <f t="shared" si="10"/>
        <v>3.0779735834374315E-2</v>
      </c>
      <c r="AK62" s="9">
        <v>42275</v>
      </c>
      <c r="AL62" s="8">
        <f>AL8/21.294</f>
        <v>0.89743589743589736</v>
      </c>
      <c r="AM62" s="8">
        <f t="shared" ref="AM62:AZ62" si="17">AM8/21.294</f>
        <v>0.99699445853292001</v>
      </c>
      <c r="AN62" s="8">
        <f t="shared" si="17"/>
        <v>0.95097210481825867</v>
      </c>
      <c r="AO62" s="8">
        <f t="shared" si="17"/>
        <v>1.0387902695595004</v>
      </c>
      <c r="AP62" s="8">
        <f t="shared" si="17"/>
        <v>0.89743589743589736</v>
      </c>
      <c r="AQ62" s="8">
        <f t="shared" si="17"/>
        <v>1.0157790927021695</v>
      </c>
      <c r="AR62" s="8">
        <f t="shared" si="17"/>
        <v>0.99135906828214515</v>
      </c>
      <c r="AS62" s="8">
        <f t="shared" si="17"/>
        <v>0.98760214144829528</v>
      </c>
      <c r="AT62" s="8">
        <f t="shared" si="17"/>
        <v>1.0218840988071758</v>
      </c>
      <c r="AU62" s="8">
        <f t="shared" si="17"/>
        <v>1.0627406781252935</v>
      </c>
      <c r="AV62" s="8">
        <f t="shared" si="17"/>
        <v>1.0383206537052689</v>
      </c>
      <c r="AW62" s="8">
        <f t="shared" si="17"/>
        <v>1.0275194890579504</v>
      </c>
      <c r="AX62" s="8">
        <f t="shared" si="17"/>
        <v>0.99370714755330136</v>
      </c>
      <c r="AY62" s="8">
        <f t="shared" si="17"/>
        <v>0.9880717573025265</v>
      </c>
      <c r="AZ62" s="8">
        <f t="shared" si="17"/>
        <v>0.90213205597820989</v>
      </c>
      <c r="BA62" s="8">
        <f t="shared" si="12"/>
        <v>0.98738298738298735</v>
      </c>
      <c r="BB62" s="8">
        <f t="shared" si="13"/>
        <v>5.3081392357416948E-2</v>
      </c>
    </row>
    <row r="63" spans="1:73">
      <c r="A63" s="2">
        <v>42282</v>
      </c>
      <c r="B63" s="3">
        <v>1.0013917506384082</v>
      </c>
      <c r="C63" s="3">
        <v>0.90442894339796132</v>
      </c>
      <c r="D63" s="3">
        <v>0.99595848988786573</v>
      </c>
      <c r="E63" s="3">
        <v>0.92908758834273009</v>
      </c>
      <c r="F63" s="3">
        <v>1.0080788407929218</v>
      </c>
      <c r="G63" s="3">
        <v>0.94664119999832819</v>
      </c>
      <c r="H63" s="3">
        <v>1.0076608976582646</v>
      </c>
      <c r="I63" s="3">
        <v>1.0536346424705454</v>
      </c>
      <c r="J63" s="3">
        <v>0.98467402525212411</v>
      </c>
      <c r="K63" s="3">
        <v>1.0962648422055694</v>
      </c>
      <c r="L63" s="3">
        <v>0.97129984494309696</v>
      </c>
      <c r="M63" s="3">
        <v>1.043186064104118</v>
      </c>
      <c r="N63" s="3">
        <v>0.92031078251493104</v>
      </c>
      <c r="O63" s="3">
        <v>0.92449021386150199</v>
      </c>
      <c r="P63" s="3">
        <v>0.97924076450158193</v>
      </c>
      <c r="Q63" s="3">
        <v>0.9844232593713298</v>
      </c>
      <c r="R63" s="3">
        <v>5.4157524136433169E-2</v>
      </c>
      <c r="T63" s="3">
        <f t="shared" ref="T63:AG63" si="18">T9/23.9267</f>
        <v>1.0168556466207208</v>
      </c>
      <c r="U63" s="3">
        <f t="shared" si="18"/>
        <v>0.93661056476655791</v>
      </c>
      <c r="V63" s="3">
        <f t="shared" si="18"/>
        <v>0.89899568264741903</v>
      </c>
      <c r="W63" s="3">
        <f t="shared" si="18"/>
        <v>0.96210509598064087</v>
      </c>
      <c r="X63" s="3">
        <f t="shared" si="18"/>
        <v>1.0164377034860637</v>
      </c>
      <c r="Y63" s="3">
        <f t="shared" si="18"/>
        <v>0.97171778807775411</v>
      </c>
      <c r="Z63" s="3">
        <f t="shared" si="18"/>
        <v>1.0381707464882328</v>
      </c>
      <c r="AA63" s="3">
        <f t="shared" si="18"/>
        <v>1.0189453622940061</v>
      </c>
      <c r="AB63" s="3">
        <f t="shared" si="18"/>
        <v>0.97464339002035383</v>
      </c>
      <c r="AC63" s="3">
        <f t="shared" si="18"/>
        <v>1.0097506133315501</v>
      </c>
      <c r="AD63" s="3">
        <f t="shared" si="18"/>
        <v>0.97840487823226774</v>
      </c>
      <c r="AE63" s="3">
        <f t="shared" si="18"/>
        <v>0.97756899196295355</v>
      </c>
      <c r="AF63" s="3">
        <f t="shared" si="18"/>
        <v>0.97171778807775411</v>
      </c>
      <c r="AG63" s="3">
        <f t="shared" si="18"/>
        <v>0.92407227072684484</v>
      </c>
      <c r="AH63" s="3">
        <f t="shared" si="9"/>
        <v>0.97828546590807997</v>
      </c>
      <c r="AI63" s="3">
        <f t="shared" si="10"/>
        <v>3.9707957632669169E-2</v>
      </c>
      <c r="AK63" s="9">
        <v>42282</v>
      </c>
      <c r="AL63" s="8">
        <f>AL9/23.9267</f>
        <v>0.9595974371726983</v>
      </c>
      <c r="AM63" s="8">
        <f t="shared" ref="AM63:AZ63" si="19">AM9/23.9267</f>
        <v>0.98801757032938098</v>
      </c>
      <c r="AN63" s="8">
        <f t="shared" si="19"/>
        <v>0.9541641764221559</v>
      </c>
      <c r="AO63" s="8">
        <f t="shared" si="19"/>
        <v>1.0001379212344368</v>
      </c>
      <c r="AP63" s="8">
        <f t="shared" si="19"/>
        <v>0.89899568264741903</v>
      </c>
      <c r="AQ63" s="8">
        <f t="shared" si="19"/>
        <v>1.0344092582763189</v>
      </c>
      <c r="AR63" s="8">
        <f t="shared" si="19"/>
        <v>0.96252303911529802</v>
      </c>
      <c r="AS63" s="8">
        <f t="shared" si="19"/>
        <v>1.0105864996008642</v>
      </c>
      <c r="AT63" s="8">
        <f t="shared" si="19"/>
        <v>1.0013917506384082</v>
      </c>
      <c r="AU63" s="8">
        <f t="shared" si="19"/>
        <v>1.0038994094463507</v>
      </c>
      <c r="AV63" s="8">
        <f t="shared" si="19"/>
        <v>1.0118403290048357</v>
      </c>
      <c r="AW63" s="8">
        <f t="shared" si="19"/>
        <v>1.0527987562012313</v>
      </c>
      <c r="AX63" s="8">
        <f t="shared" si="19"/>
        <v>0.97547927628966802</v>
      </c>
      <c r="AY63" s="8">
        <f t="shared" si="19"/>
        <v>1.0055711819849791</v>
      </c>
      <c r="AZ63" s="8">
        <f t="shared" si="19"/>
        <v>0.92198255505355931</v>
      </c>
      <c r="BA63" s="8">
        <f t="shared" si="12"/>
        <v>0.98542632289450682</v>
      </c>
      <c r="BB63" s="8">
        <f t="shared" si="13"/>
        <v>4.0758471793019016E-2</v>
      </c>
    </row>
    <row r="64" spans="1:73">
      <c r="A64" s="2">
        <v>42289</v>
      </c>
      <c r="B64" s="3">
        <v>1.0302288791390342</v>
      </c>
      <c r="C64" s="3">
        <v>0.97100240802362825</v>
      </c>
      <c r="D64" s="3">
        <v>1.0660764800773062</v>
      </c>
      <c r="E64" s="3">
        <v>1.0462044404267423</v>
      </c>
      <c r="F64" s="3">
        <v>0.91255523258079352</v>
      </c>
      <c r="G64" s="3">
        <v>0.92580325901450267</v>
      </c>
      <c r="H64" s="3">
        <v>0.87398009678852251</v>
      </c>
      <c r="I64" s="3">
        <v>1.0851692240552988</v>
      </c>
      <c r="J64" s="3">
        <v>0.99944670007247438</v>
      </c>
      <c r="K64" s="3">
        <v>0.97178170369619943</v>
      </c>
      <c r="L64" s="3">
        <v>0.93398586357649949</v>
      </c>
      <c r="M64" s="3">
        <v>0.94528565082878102</v>
      </c>
      <c r="N64" s="3">
        <v>0.88683847538594618</v>
      </c>
      <c r="O64" s="3">
        <v>0.912944880417079</v>
      </c>
      <c r="P64" s="3">
        <v>0.94645459433763757</v>
      </c>
      <c r="Q64" s="3">
        <v>0.96718385922802963</v>
      </c>
      <c r="R64" s="3">
        <v>6.5349612853355957E-2</v>
      </c>
      <c r="T64" s="3">
        <f t="shared" ref="T64:AG64" si="20">T10/25.6642</f>
        <v>0.98386078662105181</v>
      </c>
      <c r="U64" s="3">
        <f t="shared" si="20"/>
        <v>0.90047614965594092</v>
      </c>
      <c r="V64" s="3">
        <f t="shared" si="20"/>
        <v>0.91138628907193675</v>
      </c>
      <c r="W64" s="3">
        <f t="shared" si="20"/>
        <v>0.99087444767419197</v>
      </c>
      <c r="X64" s="3">
        <f t="shared" si="20"/>
        <v>1.0189290918867526</v>
      </c>
      <c r="Y64" s="3">
        <f t="shared" si="20"/>
        <v>0.98892620849276414</v>
      </c>
      <c r="Z64" s="3">
        <f t="shared" si="20"/>
        <v>0.99282268685561992</v>
      </c>
      <c r="AA64" s="3">
        <f t="shared" si="20"/>
        <v>1.0321771183204618</v>
      </c>
      <c r="AB64" s="3">
        <f t="shared" si="20"/>
        <v>0.98541937796619405</v>
      </c>
      <c r="AC64" s="3">
        <f t="shared" si="20"/>
        <v>0.9869779693113363</v>
      </c>
      <c r="AD64" s="3">
        <f t="shared" si="20"/>
        <v>0.99671916521847548</v>
      </c>
      <c r="AE64" s="3">
        <f t="shared" si="20"/>
        <v>1.0458147925904566</v>
      </c>
      <c r="AF64" s="3">
        <f t="shared" si="20"/>
        <v>0.98347113878476622</v>
      </c>
      <c r="AG64" s="3">
        <f t="shared" si="20"/>
        <v>0.91684135877993467</v>
      </c>
      <c r="AH64" s="3">
        <f t="shared" si="9"/>
        <v>0.9810497558021346</v>
      </c>
      <c r="AI64" s="3">
        <f t="shared" si="10"/>
        <v>4.3254063233245502E-2</v>
      </c>
      <c r="AK64" s="9">
        <v>42289</v>
      </c>
      <c r="AL64" s="8">
        <f>AL10/25.6642</f>
        <v>0.99126409551047767</v>
      </c>
      <c r="AM64" s="8">
        <f t="shared" ref="AM64:AZ64" si="21">AM10/25.6642</f>
        <v>1.0099671916521848</v>
      </c>
      <c r="AN64" s="8">
        <f t="shared" si="21"/>
        <v>0.91021734556307998</v>
      </c>
      <c r="AO64" s="8">
        <f t="shared" si="21"/>
        <v>0.99944670007247438</v>
      </c>
      <c r="AP64" s="8">
        <f t="shared" si="21"/>
        <v>0.92814114603221609</v>
      </c>
      <c r="AQ64" s="8">
        <f t="shared" si="21"/>
        <v>1.0882864067455833</v>
      </c>
      <c r="AR64" s="8">
        <f t="shared" si="21"/>
        <v>1.002563882762759</v>
      </c>
      <c r="AS64" s="8">
        <f t="shared" si="21"/>
        <v>0.97489888638648381</v>
      </c>
      <c r="AT64" s="8">
        <f t="shared" si="21"/>
        <v>1.0259427529398928</v>
      </c>
      <c r="AU64" s="8">
        <f t="shared" si="21"/>
        <v>0.97489888638648381</v>
      </c>
      <c r="AV64" s="8">
        <f t="shared" si="21"/>
        <v>1.1042619680332915</v>
      </c>
      <c r="AW64" s="8">
        <f t="shared" si="21"/>
        <v>1.0633489452233071</v>
      </c>
      <c r="AX64" s="8">
        <f t="shared" si="21"/>
        <v>0.94372705948363855</v>
      </c>
      <c r="AY64" s="8">
        <f t="shared" si="21"/>
        <v>0.98269184311219515</v>
      </c>
      <c r="AZ64" s="8">
        <f t="shared" si="21"/>
        <v>0.90086579749222651</v>
      </c>
      <c r="BA64" s="8">
        <f t="shared" si="12"/>
        <v>0.99336819382641961</v>
      </c>
      <c r="BB64" s="8">
        <f t="shared" si="13"/>
        <v>6.0150138722868139E-2</v>
      </c>
    </row>
    <row r="65" spans="1:54">
      <c r="A65" s="2">
        <v>42296</v>
      </c>
      <c r="B65" s="3">
        <v>0.97537285490262948</v>
      </c>
      <c r="C65" s="3">
        <v>1.0035478214448568</v>
      </c>
      <c r="D65" s="3">
        <v>0.87379468605302091</v>
      </c>
      <c r="E65" s="3">
        <v>0.99427974034543998</v>
      </c>
      <c r="F65" s="3">
        <v>0.93941270023689216</v>
      </c>
      <c r="G65" s="3">
        <v>0.98278731978216305</v>
      </c>
      <c r="H65" s="3">
        <v>0.98204587329420967</v>
      </c>
      <c r="I65" s="3">
        <v>0.99279684736953333</v>
      </c>
      <c r="J65" s="3">
        <v>0.98612382897795314</v>
      </c>
      <c r="K65" s="3">
        <v>1.0313520647431074</v>
      </c>
      <c r="L65" s="3">
        <v>0.99427974034543998</v>
      </c>
      <c r="M65" s="3">
        <v>0.96795839002309603</v>
      </c>
      <c r="N65" s="3">
        <v>0.98278731978216305</v>
      </c>
      <c r="O65" s="3">
        <v>0.95757813919174917</v>
      </c>
      <c r="P65" s="3">
        <v>1.043215208550361</v>
      </c>
      <c r="Q65" s="3">
        <v>0.98048883566950784</v>
      </c>
      <c r="R65" s="3">
        <v>3.9105139766482763E-2</v>
      </c>
      <c r="T65" s="3">
        <f t="shared" ref="T65:AF65" si="22">T11/26.9743</f>
        <v>0.95238801377607585</v>
      </c>
      <c r="U65" s="3">
        <f t="shared" si="22"/>
        <v>0.94311993267665895</v>
      </c>
      <c r="V65" s="3">
        <f t="shared" si="22"/>
        <v>0.97537285490262948</v>
      </c>
      <c r="W65" s="3">
        <f t="shared" si="22"/>
        <v>0.93867125374893878</v>
      </c>
      <c r="X65" s="3">
        <f t="shared" si="22"/>
        <v>0.98204587329420967</v>
      </c>
      <c r="Y65" s="3">
        <f t="shared" si="22"/>
        <v>0.95794886243572586</v>
      </c>
      <c r="Z65" s="3">
        <f t="shared" si="22"/>
        <v>0.99539191007737005</v>
      </c>
      <c r="AA65" s="3">
        <f t="shared" si="22"/>
        <v>0.95906103216765592</v>
      </c>
      <c r="AB65" s="3">
        <f t="shared" si="22"/>
        <v>0.87564830227290424</v>
      </c>
      <c r="AC65" s="3">
        <f t="shared" si="22"/>
        <v>0.87824336498074096</v>
      </c>
      <c r="AD65" s="3">
        <f t="shared" si="22"/>
        <v>0.94497354889654217</v>
      </c>
      <c r="AE65" s="3">
        <f t="shared" si="22"/>
        <v>0.99687480305327669</v>
      </c>
      <c r="AF65" s="3">
        <f t="shared" si="22"/>
        <v>0.98352876627011643</v>
      </c>
      <c r="AG65" s="3">
        <f>AG11/26.9743</f>
        <v>0.9075305012548982</v>
      </c>
      <c r="AH65" s="3">
        <f t="shared" si="9"/>
        <v>0.94934278712912434</v>
      </c>
      <c r="AI65" s="3">
        <f t="shared" si="10"/>
        <v>3.9104693690480544E-2</v>
      </c>
      <c r="AK65" s="9">
        <v>42296</v>
      </c>
      <c r="AL65" s="8">
        <f>AL11/26.9743</f>
        <v>1.0013234819809969</v>
      </c>
      <c r="AM65" s="8">
        <f t="shared" ref="AM65:AZ65" si="23">AM11/26.9743</f>
        <v>1.0235668766195971</v>
      </c>
      <c r="AN65" s="8">
        <f t="shared" si="23"/>
        <v>0.89418446447173794</v>
      </c>
      <c r="AO65" s="8">
        <f t="shared" si="23"/>
        <v>0.93236895860133528</v>
      </c>
      <c r="AP65" s="8">
        <f t="shared" si="23"/>
        <v>0.93051534238145206</v>
      </c>
      <c r="AQ65" s="8">
        <f t="shared" si="23"/>
        <v>1.0358007436708274</v>
      </c>
      <c r="AR65" s="8">
        <f t="shared" si="23"/>
        <v>0.9935382938574866</v>
      </c>
      <c r="AS65" s="8">
        <f t="shared" si="23"/>
        <v>1.0343178506949207</v>
      </c>
      <c r="AT65" s="8">
        <f t="shared" si="23"/>
        <v>1.0180060279599472</v>
      </c>
      <c r="AU65" s="8">
        <f t="shared" si="23"/>
        <v>0.93830053050496209</v>
      </c>
      <c r="AV65" s="8">
        <f t="shared" si="23"/>
        <v>1.060268477773288</v>
      </c>
      <c r="AW65" s="8">
        <f t="shared" si="23"/>
        <v>0.97055345273093274</v>
      </c>
      <c r="AX65" s="8">
        <f t="shared" si="23"/>
        <v>0.92643738669770848</v>
      </c>
      <c r="AY65" s="8">
        <f t="shared" si="23"/>
        <v>0.94905150458028575</v>
      </c>
      <c r="AZ65" s="8">
        <f t="shared" si="23"/>
        <v>0.90678905476694494</v>
      </c>
      <c r="BA65" s="8">
        <f t="shared" si="12"/>
        <v>0.97433482981949493</v>
      </c>
      <c r="BB65" s="8">
        <f t="shared" si="13"/>
        <v>5.2849325794498705E-2</v>
      </c>
    </row>
    <row r="66" spans="1:54">
      <c r="A66" s="2">
        <v>42303</v>
      </c>
      <c r="B66" s="3">
        <v>0.93083176077805185</v>
      </c>
      <c r="C66" s="3">
        <v>0.95804906372477849</v>
      </c>
      <c r="D66" s="3">
        <v>1.0694585571200463</v>
      </c>
      <c r="E66" s="3">
        <v>0.87748584700246768</v>
      </c>
      <c r="F66" s="3">
        <v>1.0012338510669183</v>
      </c>
      <c r="G66" s="3">
        <v>1.04587022789955</v>
      </c>
      <c r="H66" s="3">
        <v>0.96712149804035408</v>
      </c>
      <c r="I66" s="3">
        <v>1.0052257221657714</v>
      </c>
      <c r="J66" s="3">
        <v>0.97655682972855273</v>
      </c>
      <c r="K66" s="3">
        <v>0.87748584700246768</v>
      </c>
      <c r="L66" s="3">
        <v>0.94026709246625051</v>
      </c>
      <c r="M66" s="3">
        <v>0.98236318769052111</v>
      </c>
      <c r="N66" s="3">
        <v>1.0360719988387284</v>
      </c>
      <c r="O66" s="3">
        <v>1.0346204093482363</v>
      </c>
      <c r="P66" s="3">
        <v>0.99869356945855703</v>
      </c>
      <c r="Q66" s="3">
        <v>0.98008903082208343</v>
      </c>
      <c r="R66" s="3">
        <v>5.7062237313384001E-2</v>
      </c>
      <c r="T66" s="3">
        <f t="shared" ref="T66:AG66" si="24">T12/27.556</f>
        <v>0.91667876324575415</v>
      </c>
      <c r="U66" s="3">
        <f t="shared" si="24"/>
        <v>0.96312962694150084</v>
      </c>
      <c r="V66" s="3">
        <f t="shared" si="24"/>
        <v>0.85752649150820137</v>
      </c>
      <c r="W66" s="3">
        <f t="shared" si="24"/>
        <v>0.95950065321527078</v>
      </c>
      <c r="X66" s="3">
        <f t="shared" si="24"/>
        <v>1.0371606909565974</v>
      </c>
      <c r="Y66" s="3">
        <f t="shared" si="24"/>
        <v>0.96494411380461598</v>
      </c>
      <c r="Z66" s="3">
        <f t="shared" si="24"/>
        <v>0.98744375090724346</v>
      </c>
      <c r="AA66" s="3">
        <f t="shared" si="24"/>
        <v>0.93409783713165906</v>
      </c>
      <c r="AB66" s="3">
        <f t="shared" si="24"/>
        <v>0.85752649150820137</v>
      </c>
      <c r="AC66" s="3">
        <f t="shared" si="24"/>
        <v>0.89853389461460298</v>
      </c>
      <c r="AD66" s="3">
        <f t="shared" si="24"/>
        <v>0.97365365074756849</v>
      </c>
      <c r="AE66" s="3">
        <f t="shared" si="24"/>
        <v>0.99687908259544189</v>
      </c>
      <c r="AF66" s="3">
        <f t="shared" si="24"/>
        <v>0.99760487734068792</v>
      </c>
      <c r="AG66" s="3">
        <f t="shared" si="24"/>
        <v>0.89055015241689639</v>
      </c>
      <c r="AH66" s="3">
        <f t="shared" si="9"/>
        <v>0.94537357692387436</v>
      </c>
      <c r="AI66" s="3">
        <f t="shared" si="10"/>
        <v>5.4672197244932497E-2</v>
      </c>
      <c r="AK66" s="9">
        <v>42303</v>
      </c>
      <c r="AL66" s="8">
        <f>AL12/27.556</f>
        <v>1.0705472492379156</v>
      </c>
      <c r="AM66" s="8">
        <f t="shared" ref="AM66:AZ66" si="25">AM12/27.556</f>
        <v>1.0589345333139788</v>
      </c>
      <c r="AN66" s="8">
        <f t="shared" si="25"/>
        <v>0.96821019015822318</v>
      </c>
      <c r="AO66" s="8">
        <f t="shared" si="25"/>
        <v>0.9536942952533024</v>
      </c>
      <c r="AP66" s="8">
        <f t="shared" si="25"/>
        <v>1.0092175932646248</v>
      </c>
      <c r="AQ66" s="8">
        <f t="shared" si="25"/>
        <v>1.0585716359413557</v>
      </c>
      <c r="AR66" s="8">
        <f t="shared" si="25"/>
        <v>1.0193787196980693</v>
      </c>
      <c r="AS66" s="8">
        <f t="shared" si="25"/>
        <v>1.0317172303672522</v>
      </c>
      <c r="AT66" s="8">
        <f t="shared" si="25"/>
        <v>1.0132094643634781</v>
      </c>
      <c r="AU66" s="8">
        <f t="shared" si="25"/>
        <v>0.98381477718101318</v>
      </c>
      <c r="AV66" s="8">
        <f t="shared" si="25"/>
        <v>1.0578458411961096</v>
      </c>
      <c r="AW66" s="8">
        <f t="shared" si="25"/>
        <v>0.96167803745100877</v>
      </c>
      <c r="AX66" s="8">
        <f t="shared" si="25"/>
        <v>0.8872840760632893</v>
      </c>
      <c r="AY66" s="8">
        <f t="shared" si="25"/>
        <v>0.93990419509362744</v>
      </c>
      <c r="AZ66" s="8">
        <f t="shared" si="25"/>
        <v>0.93736391348526626</v>
      </c>
      <c r="BA66" s="8">
        <f t="shared" si="12"/>
        <v>0.99675811680456772</v>
      </c>
      <c r="BB66" s="8">
        <f t="shared" si="13"/>
        <v>5.4664760775948958E-2</v>
      </c>
    </row>
    <row r="67" spans="1:54">
      <c r="A67" s="2">
        <v>42309</v>
      </c>
      <c r="B67" s="3">
        <v>0.91592763391273502</v>
      </c>
      <c r="C67" s="3">
        <v>0.93224547711954597</v>
      </c>
      <c r="D67" s="3">
        <v>1.0297978006385242</v>
      </c>
      <c r="E67" s="3">
        <v>0.91025186236253985</v>
      </c>
      <c r="F67" s="3">
        <v>0.90989712664065259</v>
      </c>
      <c r="G67" s="3">
        <v>1.0117062788222773</v>
      </c>
      <c r="H67" s="3">
        <v>0.9549485633203264</v>
      </c>
      <c r="I67" s="3">
        <v>1.0198652004256827</v>
      </c>
      <c r="J67" s="3">
        <v>0.95849592053919819</v>
      </c>
      <c r="K67" s="3">
        <v>0.91025186236253985</v>
      </c>
      <c r="L67" s="3">
        <v>1.0237672933664419</v>
      </c>
      <c r="M67" s="3">
        <v>0.96062433487052135</v>
      </c>
      <c r="N67" s="3">
        <v>1.0500177367860943</v>
      </c>
      <c r="O67" s="3">
        <v>0.95601277048598787</v>
      </c>
      <c r="P67" s="3">
        <v>0.98616530684639936</v>
      </c>
      <c r="Q67" s="3">
        <v>0.96866501123329773</v>
      </c>
      <c r="R67" s="3">
        <v>4.8604650322457574E-2</v>
      </c>
      <c r="T67" s="3">
        <f t="shared" ref="T67:AG67" si="26">T13/28.19</f>
        <v>0.93969492727917692</v>
      </c>
      <c r="U67" s="3">
        <f t="shared" si="26"/>
        <v>1.0454061724015606</v>
      </c>
      <c r="V67" s="3">
        <f t="shared" si="26"/>
        <v>0.90067399787158564</v>
      </c>
      <c r="W67" s="3">
        <f t="shared" si="26"/>
        <v>0.8754877616175949</v>
      </c>
      <c r="X67" s="3">
        <f t="shared" si="26"/>
        <v>1.0063852429939695</v>
      </c>
      <c r="Y67" s="3">
        <f t="shared" si="26"/>
        <v>0.93366442000709471</v>
      </c>
      <c r="Z67" s="3">
        <f t="shared" si="26"/>
        <v>1.0124157502660518</v>
      </c>
      <c r="AA67" s="3">
        <f t="shared" si="26"/>
        <v>0.9911316069528201</v>
      </c>
      <c r="AB67" s="3">
        <f t="shared" si="26"/>
        <v>0.91450869102518628</v>
      </c>
      <c r="AC67" s="3">
        <f t="shared" si="26"/>
        <v>0.90386661936857038</v>
      </c>
      <c r="AD67" s="3">
        <f t="shared" si="26"/>
        <v>0.96204327775807019</v>
      </c>
      <c r="AE67" s="3">
        <f t="shared" si="26"/>
        <v>1.0138346931536004</v>
      </c>
      <c r="AF67" s="3">
        <f t="shared" si="26"/>
        <v>0.90386661936857038</v>
      </c>
      <c r="AG67" s="3">
        <f t="shared" si="26"/>
        <v>0.86874778290173815</v>
      </c>
      <c r="AH67" s="3">
        <f t="shared" si="9"/>
        <v>0.94798054021182776</v>
      </c>
      <c r="AI67" s="3">
        <f t="shared" si="10"/>
        <v>5.7182763094364444E-2</v>
      </c>
      <c r="AK67" s="9">
        <v>42309</v>
      </c>
      <c r="AL67" s="8">
        <f>AL13/28.19</f>
        <v>0.96133380631429588</v>
      </c>
      <c r="AM67" s="8">
        <f t="shared" ref="AM67:AZ67" si="27">AM13/28.19</f>
        <v>0.98900319262149694</v>
      </c>
      <c r="AN67" s="8">
        <f t="shared" si="27"/>
        <v>0.93969492727917692</v>
      </c>
      <c r="AO67" s="8">
        <f t="shared" si="27"/>
        <v>0.99503369989357926</v>
      </c>
      <c r="AP67" s="8">
        <f t="shared" si="27"/>
        <v>1.0468251152891097</v>
      </c>
      <c r="AQ67" s="8">
        <f t="shared" si="27"/>
        <v>1.0290883291947499</v>
      </c>
      <c r="AR67" s="8">
        <f t="shared" si="27"/>
        <v>0.98652004256828651</v>
      </c>
      <c r="AS67" s="8">
        <f t="shared" si="27"/>
        <v>1.0039020929407592</v>
      </c>
      <c r="AT67" s="8">
        <f t="shared" si="27"/>
        <v>0.99574317133735368</v>
      </c>
      <c r="AU67" s="8">
        <f t="shared" si="27"/>
        <v>1.0361830436324937</v>
      </c>
      <c r="AV67" s="8">
        <f t="shared" si="27"/>
        <v>1.0340546293011705</v>
      </c>
      <c r="AW67" s="8">
        <f t="shared" si="27"/>
        <v>0.93827598439162818</v>
      </c>
      <c r="AX67" s="8">
        <f t="shared" si="27"/>
        <v>0.86697410429230226</v>
      </c>
      <c r="AY67" s="8">
        <f t="shared" si="27"/>
        <v>0.92302234835047881</v>
      </c>
      <c r="AZ67" s="8">
        <f t="shared" si="27"/>
        <v>0.95636750620787514</v>
      </c>
      <c r="BA67" s="8">
        <f t="shared" si="12"/>
        <v>0.98013479957431715</v>
      </c>
      <c r="BB67" s="8">
        <f t="shared" si="13"/>
        <v>4.9580945888019E-2</v>
      </c>
    </row>
    <row r="68" spans="1:54">
      <c r="A68" s="2">
        <v>42317</v>
      </c>
      <c r="B68" s="3">
        <v>0.87955515143036989</v>
      </c>
      <c r="C68" s="3">
        <v>0.90893194376442599</v>
      </c>
      <c r="D68" s="3">
        <v>0.94949989508288446</v>
      </c>
      <c r="E68" s="3">
        <v>0.89074631041477226</v>
      </c>
      <c r="F68" s="3">
        <v>0.96523746240470032</v>
      </c>
      <c r="G68" s="3">
        <v>1.0404280618311534</v>
      </c>
      <c r="H68" s="3">
        <v>1.0229418759180247</v>
      </c>
      <c r="I68" s="3">
        <v>0.97118276561516392</v>
      </c>
      <c r="J68" s="3">
        <v>0.93376232776106871</v>
      </c>
      <c r="K68" s="3">
        <v>0.89074631041477226</v>
      </c>
      <c r="L68" s="3">
        <v>0.94949989508288446</v>
      </c>
      <c r="M68" s="3">
        <v>0.98901867524655518</v>
      </c>
      <c r="N68" s="3">
        <v>0.97572917395257741</v>
      </c>
      <c r="O68" s="3">
        <v>1.0421766804224661</v>
      </c>
      <c r="P68" s="3">
        <v>1.0114009932153598</v>
      </c>
      <c r="Q68" s="3">
        <v>0.96139050150381211</v>
      </c>
      <c r="R68" s="3">
        <v>5.3864102792052254E-2</v>
      </c>
      <c r="T68" s="3">
        <f t="shared" ref="T68:AG68" si="28">T14/28.594</f>
        <v>0.84493250332237524</v>
      </c>
      <c r="U68" s="3">
        <f t="shared" si="28"/>
        <v>0.92047282646709094</v>
      </c>
      <c r="V68" s="3">
        <f t="shared" si="28"/>
        <v>0.86311813667202908</v>
      </c>
      <c r="W68" s="3">
        <f t="shared" si="28"/>
        <v>0.99811149192138204</v>
      </c>
      <c r="X68" s="3">
        <f t="shared" si="28"/>
        <v>1.0341330349024271</v>
      </c>
      <c r="Y68" s="3">
        <f t="shared" si="28"/>
        <v>1.0288871791284886</v>
      </c>
      <c r="Z68" s="3">
        <f t="shared" si="28"/>
        <v>0.95929215919423649</v>
      </c>
      <c r="AA68" s="3">
        <f t="shared" si="28"/>
        <v>0.92012310274882836</v>
      </c>
      <c r="AB68" s="3">
        <f t="shared" si="28"/>
        <v>0.8249982513814087</v>
      </c>
      <c r="AC68" s="3">
        <f t="shared" si="28"/>
        <v>0.90018885080786171</v>
      </c>
      <c r="AD68" s="3">
        <f t="shared" si="28"/>
        <v>0.92606840595929218</v>
      </c>
      <c r="AE68" s="3">
        <f t="shared" si="28"/>
        <v>0.92292089249492903</v>
      </c>
      <c r="AF68" s="3">
        <f t="shared" si="28"/>
        <v>0.85472476743372738</v>
      </c>
      <c r="AG68" s="3">
        <f t="shared" si="28"/>
        <v>0.89284465272434776</v>
      </c>
      <c r="AH68" s="3">
        <f t="shared" si="9"/>
        <v>0.92077258965417319</v>
      </c>
      <c r="AI68" s="3">
        <f t="shared" si="10"/>
        <v>6.5546251382197135E-2</v>
      </c>
      <c r="AK68" s="9">
        <v>42317</v>
      </c>
      <c r="AL68" s="8">
        <f>AL14/28.594</f>
        <v>1.0009092816674827</v>
      </c>
      <c r="AM68" s="8">
        <f t="shared" ref="AM68:AZ68" si="29">AM14/28.594</f>
        <v>1.0093026509057843</v>
      </c>
      <c r="AN68" s="8">
        <f t="shared" si="29"/>
        <v>0.96803525215080077</v>
      </c>
      <c r="AO68" s="8">
        <f t="shared" si="29"/>
        <v>0.91662586556620274</v>
      </c>
      <c r="AP68" s="8">
        <f t="shared" si="29"/>
        <v>0.93166398545149332</v>
      </c>
      <c r="AQ68" s="8">
        <f t="shared" si="29"/>
        <v>0.97677834510736516</v>
      </c>
      <c r="AR68" s="8">
        <f t="shared" si="29"/>
        <v>1.0358816534937398</v>
      </c>
      <c r="AS68" s="8">
        <f t="shared" si="29"/>
        <v>1.0152479541162482</v>
      </c>
      <c r="AT68" s="8">
        <f t="shared" si="29"/>
        <v>0.97887668741694056</v>
      </c>
      <c r="AU68" s="8">
        <f t="shared" si="29"/>
        <v>0.98901867524655518</v>
      </c>
      <c r="AV68" s="8">
        <f t="shared" si="29"/>
        <v>1.0162971252710358</v>
      </c>
      <c r="AW68" s="8">
        <f t="shared" si="29"/>
        <v>0.95999160663076166</v>
      </c>
      <c r="AX68" s="8">
        <f t="shared" si="29"/>
        <v>0.91347835210183959</v>
      </c>
      <c r="AY68" s="8">
        <f t="shared" si="29"/>
        <v>0.91452752325662723</v>
      </c>
      <c r="AZ68" s="8">
        <f t="shared" si="29"/>
        <v>1.0435755752955165</v>
      </c>
      <c r="BA68" s="8">
        <f t="shared" si="12"/>
        <v>0.97801403557855948</v>
      </c>
      <c r="BB68" s="8">
        <f t="shared" si="13"/>
        <v>4.3639832388024227E-2</v>
      </c>
    </row>
    <row r="69" spans="1:54">
      <c r="A69" s="2">
        <v>42324</v>
      </c>
      <c r="B69" s="3">
        <v>0.92011021137303328</v>
      </c>
      <c r="C69" s="3">
        <v>0.88613173555998892</v>
      </c>
      <c r="D69" s="3">
        <v>0.92448367855689051</v>
      </c>
      <c r="E69" s="3">
        <v>0.88714099721780215</v>
      </c>
      <c r="F69" s="3">
        <v>0.94937879944961601</v>
      </c>
      <c r="G69" s="3">
        <v>0.9702368737110888</v>
      </c>
      <c r="H69" s="3">
        <v>0.99647767681423205</v>
      </c>
      <c r="I69" s="3">
        <v>0.91270895921573647</v>
      </c>
      <c r="J69" s="3">
        <v>0.92313799634647287</v>
      </c>
      <c r="K69" s="3">
        <v>0.88714099721780215</v>
      </c>
      <c r="L69" s="3">
        <v>1.0008511439980892</v>
      </c>
      <c r="M69" s="3">
        <v>1.0072431344975727</v>
      </c>
      <c r="N69" s="3">
        <v>0.91674600584698929</v>
      </c>
      <c r="O69" s="3">
        <v>1.0580426379408372</v>
      </c>
      <c r="P69" s="3">
        <v>1.0193542743913311</v>
      </c>
      <c r="Q69" s="3">
        <v>0.95061234147583207</v>
      </c>
      <c r="R69" s="3">
        <v>5.4546488769784116E-2</v>
      </c>
      <c r="T69" s="3">
        <f t="shared" ref="T69:AG69" si="30">T15/29.7247</f>
        <v>0.88949594108603292</v>
      </c>
      <c r="U69" s="3">
        <f t="shared" si="30"/>
        <v>0.88781383832301086</v>
      </c>
      <c r="V69" s="3">
        <f t="shared" si="30"/>
        <v>0.88747741777040645</v>
      </c>
      <c r="W69" s="3">
        <f t="shared" si="30"/>
        <v>0.96014425713295681</v>
      </c>
      <c r="X69" s="3">
        <f t="shared" si="30"/>
        <v>0.95812573381733046</v>
      </c>
      <c r="Y69" s="3">
        <f t="shared" si="30"/>
        <v>0.99042210686735288</v>
      </c>
      <c r="Z69" s="3">
        <f t="shared" si="30"/>
        <v>0.84710695145787851</v>
      </c>
      <c r="AA69" s="3">
        <f t="shared" si="30"/>
        <v>0.93659481845064885</v>
      </c>
      <c r="AB69" s="3">
        <f t="shared" si="30"/>
        <v>0.88781383832301086</v>
      </c>
      <c r="AC69" s="3">
        <f t="shared" si="30"/>
        <v>0.88074900671831846</v>
      </c>
      <c r="AD69" s="3">
        <f t="shared" si="30"/>
        <v>0.92650220187251686</v>
      </c>
      <c r="AE69" s="3">
        <f t="shared" si="30"/>
        <v>0.85181683919434015</v>
      </c>
      <c r="AF69" s="3">
        <f t="shared" si="30"/>
        <v>0.84508842814225216</v>
      </c>
      <c r="AG69" s="3">
        <f t="shared" si="30"/>
        <v>0.8571995680360105</v>
      </c>
      <c r="AH69" s="3">
        <f t="shared" si="9"/>
        <v>0.90045363908514775</v>
      </c>
      <c r="AI69" s="3">
        <f t="shared" si="10"/>
        <v>4.6502242969800538E-2</v>
      </c>
      <c r="AK69" s="9">
        <v>42324</v>
      </c>
      <c r="AL69" s="8">
        <f>AL15/29.7247</f>
        <v>0.92683862242512127</v>
      </c>
      <c r="AM69" s="8">
        <f t="shared" ref="AM69:AZ69" si="31">AM15/29.7247</f>
        <v>1.0395395075475951</v>
      </c>
      <c r="AN69" s="8">
        <f t="shared" si="31"/>
        <v>0.96115351879077005</v>
      </c>
      <c r="AO69" s="8">
        <f t="shared" si="31"/>
        <v>1.0069067139449683</v>
      </c>
      <c r="AP69" s="8">
        <f t="shared" si="31"/>
        <v>0.89656077269072521</v>
      </c>
      <c r="AQ69" s="8">
        <f t="shared" si="31"/>
        <v>0.95879857492253917</v>
      </c>
      <c r="AR69" s="8">
        <f t="shared" si="31"/>
        <v>1.0156536483126828</v>
      </c>
      <c r="AS69" s="8">
        <f t="shared" si="31"/>
        <v>0.991431368525166</v>
      </c>
      <c r="AT69" s="8">
        <f t="shared" si="31"/>
        <v>0.9984962001298584</v>
      </c>
      <c r="AU69" s="8">
        <f t="shared" si="31"/>
        <v>0.93020282795116516</v>
      </c>
      <c r="AV69" s="8">
        <f t="shared" si="31"/>
        <v>1.0025332467611112</v>
      </c>
      <c r="AW69" s="8">
        <f t="shared" si="31"/>
        <v>0.86291871743028525</v>
      </c>
      <c r="AX69" s="8">
        <f t="shared" si="31"/>
        <v>0.96384488321160511</v>
      </c>
      <c r="AY69" s="8">
        <f t="shared" si="31"/>
        <v>0.8928601466120768</v>
      </c>
      <c r="AZ69" s="8">
        <f t="shared" si="31"/>
        <v>1.031128993732485</v>
      </c>
      <c r="BA69" s="8">
        <f t="shared" si="12"/>
        <v>0.96525784953254357</v>
      </c>
      <c r="BB69" s="8">
        <f t="shared" si="13"/>
        <v>5.3791862488410169E-2</v>
      </c>
    </row>
    <row r="70" spans="1:54">
      <c r="A70" s="2">
        <v>42331</v>
      </c>
      <c r="B70" s="3">
        <v>0.90367450722776188</v>
      </c>
      <c r="C70" s="3">
        <v>0.92263042817503504</v>
      </c>
      <c r="D70" s="3">
        <v>0.85465057374343478</v>
      </c>
      <c r="E70" s="3">
        <v>0.9262255166305523</v>
      </c>
      <c r="F70" s="3">
        <v>0.85857248842218103</v>
      </c>
      <c r="G70" s="3">
        <v>1.0128344657861967</v>
      </c>
      <c r="H70" s="3">
        <v>0.88798684851277732</v>
      </c>
      <c r="I70" s="3">
        <v>0.84647991816271362</v>
      </c>
      <c r="J70" s="3">
        <v>0.92164994950534851</v>
      </c>
      <c r="K70" s="3">
        <v>0.92589869040732342</v>
      </c>
      <c r="L70" s="3">
        <v>0.92263042817503504</v>
      </c>
      <c r="M70" s="3">
        <v>0.94093269667585044</v>
      </c>
      <c r="N70" s="3">
        <v>0.97459579766842175</v>
      </c>
      <c r="O70" s="3">
        <v>0.98538106303497364</v>
      </c>
      <c r="P70" s="3">
        <v>1.1056531131831893</v>
      </c>
      <c r="Q70" s="3">
        <v>0.93265309902071936</v>
      </c>
      <c r="R70" s="3">
        <v>6.719264947957905E-2</v>
      </c>
      <c r="T70" s="3">
        <f t="shared" ref="T70:AG70" si="32">T16/30.5973</f>
        <v>0.90465498589744842</v>
      </c>
      <c r="U70" s="3">
        <f t="shared" si="32"/>
        <v>0.8330800430103309</v>
      </c>
      <c r="V70" s="3">
        <f t="shared" si="32"/>
        <v>0.93210838864867163</v>
      </c>
      <c r="W70" s="3">
        <f t="shared" si="32"/>
        <v>0.96152274873926791</v>
      </c>
      <c r="X70" s="3">
        <f t="shared" si="32"/>
        <v>0.9736153189987351</v>
      </c>
      <c r="Y70" s="3">
        <f t="shared" si="32"/>
        <v>0.99943459063381401</v>
      </c>
      <c r="Z70" s="3">
        <f t="shared" si="32"/>
        <v>0.89681115653995613</v>
      </c>
      <c r="AA70" s="3">
        <f t="shared" si="32"/>
        <v>0.93733760822033318</v>
      </c>
      <c r="AB70" s="3">
        <f t="shared" si="32"/>
        <v>0.90171354988838881</v>
      </c>
      <c r="AC70" s="3">
        <f t="shared" si="32"/>
        <v>0.87393332091393683</v>
      </c>
      <c r="AD70" s="3">
        <f t="shared" si="32"/>
        <v>0.93406934598804459</v>
      </c>
      <c r="AE70" s="3">
        <f t="shared" si="32"/>
        <v>0.87197236357456376</v>
      </c>
      <c r="AF70" s="3">
        <f t="shared" si="32"/>
        <v>0.85661153108280796</v>
      </c>
      <c r="AG70" s="3">
        <f t="shared" si="32"/>
        <v>0.77261719171299426</v>
      </c>
      <c r="AH70" s="3">
        <f t="shared" si="9"/>
        <v>0.90353443884637807</v>
      </c>
      <c r="AI70" s="3">
        <f t="shared" si="10"/>
        <v>5.9864841170863846E-2</v>
      </c>
      <c r="AK70" s="9">
        <v>42331</v>
      </c>
      <c r="AL70" s="8">
        <f>AL16/30.5973</f>
        <v>1.0036833315357891</v>
      </c>
      <c r="AM70" s="8">
        <f t="shared" ref="AM70:AZ70" si="33">AM16/30.5973</f>
        <v>0.92753282152346772</v>
      </c>
      <c r="AN70" s="8">
        <f t="shared" si="33"/>
        <v>0.90007941877224451</v>
      </c>
      <c r="AO70" s="8">
        <f t="shared" si="33"/>
        <v>1.0095662035539084</v>
      </c>
      <c r="AP70" s="8">
        <f t="shared" si="33"/>
        <v>0.96773244698061589</v>
      </c>
      <c r="AQ70" s="8">
        <f t="shared" si="33"/>
        <v>0.99812728574089871</v>
      </c>
      <c r="AR70" s="8">
        <f t="shared" si="33"/>
        <v>0.9723080141058198</v>
      </c>
      <c r="AS70" s="8">
        <f t="shared" si="33"/>
        <v>0.93112790997898498</v>
      </c>
      <c r="AT70" s="8">
        <f t="shared" si="33"/>
        <v>0.90628911701359272</v>
      </c>
      <c r="AU70" s="8">
        <f t="shared" si="33"/>
        <v>0.99649315462475441</v>
      </c>
      <c r="AV70" s="8">
        <f t="shared" si="33"/>
        <v>0.96936657809676019</v>
      </c>
      <c r="AW70" s="8">
        <f t="shared" si="33"/>
        <v>0.94485461135459659</v>
      </c>
      <c r="AX70" s="8">
        <f t="shared" si="33"/>
        <v>0.97296166655227745</v>
      </c>
      <c r="AY70" s="8">
        <f t="shared" si="33"/>
        <v>0.86543583910998678</v>
      </c>
      <c r="AZ70" s="8">
        <f t="shared" si="33"/>
        <v>1.035712301412216</v>
      </c>
      <c r="BA70" s="8">
        <f t="shared" si="12"/>
        <v>0.96008471335706091</v>
      </c>
      <c r="BB70" s="8">
        <f t="shared" si="13"/>
        <v>4.6968497270582353E-2</v>
      </c>
    </row>
    <row r="71" spans="1:54">
      <c r="A71" s="2">
        <v>42338</v>
      </c>
      <c r="B71" s="3">
        <v>0.88503707459281322</v>
      </c>
      <c r="C71" s="3">
        <v>0.87838266049813041</v>
      </c>
      <c r="D71" s="3">
        <v>0.87996704480638821</v>
      </c>
      <c r="E71" s="3">
        <v>0.93415298814880543</v>
      </c>
      <c r="F71" s="3">
        <v>0.84289245199315554</v>
      </c>
      <c r="G71" s="3">
        <v>0.90088091767539136</v>
      </c>
      <c r="H71" s="3">
        <v>0.89295899613410223</v>
      </c>
      <c r="I71" s="3">
        <v>0.89549401102731485</v>
      </c>
      <c r="J71" s="3">
        <v>0.90341593256860386</v>
      </c>
      <c r="K71" s="3">
        <v>0.93161797325559281</v>
      </c>
      <c r="L71" s="3">
        <v>0.93225172697889602</v>
      </c>
      <c r="M71" s="3">
        <v>0.95665124532606638</v>
      </c>
      <c r="N71" s="3">
        <v>0.95538373787945996</v>
      </c>
      <c r="O71" s="3">
        <v>0.92623106660751631</v>
      </c>
      <c r="P71" s="3">
        <v>1.0323848152607895</v>
      </c>
      <c r="Q71" s="3">
        <v>0.91651350951686827</v>
      </c>
      <c r="R71" s="3">
        <v>4.4755287862197894E-2</v>
      </c>
      <c r="T71" s="3">
        <f t="shared" ref="T71:AG71" si="34">T17/31.558</f>
        <v>0.7757145573230243</v>
      </c>
      <c r="U71" s="3">
        <f t="shared" si="34"/>
        <v>0.74402687115786803</v>
      </c>
      <c r="V71" s="3">
        <f t="shared" si="34"/>
        <v>0.80455035173331646</v>
      </c>
      <c r="W71" s="3">
        <f t="shared" si="34"/>
        <v>0.86982698523353819</v>
      </c>
      <c r="X71" s="3">
        <f t="shared" si="34"/>
        <v>0.84225869826985234</v>
      </c>
      <c r="Y71" s="3">
        <f t="shared" si="34"/>
        <v>0.8729957538500539</v>
      </c>
      <c r="Z71" s="3">
        <f t="shared" si="34"/>
        <v>0.89517713416566325</v>
      </c>
      <c r="AA71" s="3">
        <f t="shared" si="34"/>
        <v>0.83877305279168513</v>
      </c>
      <c r="AB71" s="3">
        <f t="shared" si="34"/>
        <v>0.89137461182584443</v>
      </c>
      <c r="AC71" s="3">
        <f t="shared" si="34"/>
        <v>0.873629507573357</v>
      </c>
      <c r="AD71" s="3">
        <f t="shared" si="34"/>
        <v>0.93415298814880543</v>
      </c>
      <c r="AE71" s="3">
        <f t="shared" si="34"/>
        <v>0.80423347487166486</v>
      </c>
      <c r="AF71" s="3">
        <f t="shared" si="34"/>
        <v>0.84225869826985234</v>
      </c>
      <c r="AG71" s="3">
        <f t="shared" si="34"/>
        <v>0.77888332593953979</v>
      </c>
      <c r="AH71" s="3">
        <f t="shared" si="9"/>
        <v>0.84056114365386192</v>
      </c>
      <c r="AI71" s="3">
        <f t="shared" si="10"/>
        <v>5.3550762737326195E-2</v>
      </c>
      <c r="AK71" s="9">
        <v>42338</v>
      </c>
      <c r="AL71" s="8">
        <f>AL17/31.558</f>
        <v>0.8714113695417961</v>
      </c>
      <c r="AM71" s="8">
        <f t="shared" ref="AM71:AZ71" si="35">AM17/31.558</f>
        <v>0.94714493947651945</v>
      </c>
      <c r="AN71" s="8">
        <f t="shared" si="35"/>
        <v>0.94999683123138345</v>
      </c>
      <c r="AO71" s="8">
        <f t="shared" si="35"/>
        <v>0.98010013308828192</v>
      </c>
      <c r="AP71" s="8">
        <f t="shared" si="35"/>
        <v>0.91292223841815068</v>
      </c>
      <c r="AQ71" s="8">
        <f t="shared" si="35"/>
        <v>0.97946637936497882</v>
      </c>
      <c r="AR71" s="8">
        <f t="shared" si="35"/>
        <v>1.0029152671271944</v>
      </c>
      <c r="AS71" s="8">
        <f t="shared" si="35"/>
        <v>0.93605424931871473</v>
      </c>
      <c r="AT71" s="8">
        <f t="shared" si="35"/>
        <v>0.89707839533557254</v>
      </c>
      <c r="AU71" s="8">
        <f t="shared" si="35"/>
        <v>0.97788199505672091</v>
      </c>
      <c r="AV71" s="8">
        <f t="shared" si="35"/>
        <v>0.95855250649597568</v>
      </c>
      <c r="AW71" s="8">
        <f t="shared" si="35"/>
        <v>0.9693263197921288</v>
      </c>
      <c r="AX71" s="8">
        <f t="shared" si="35"/>
        <v>0.95411623043285376</v>
      </c>
      <c r="AY71" s="8">
        <f t="shared" si="35"/>
        <v>0.89042398124088984</v>
      </c>
      <c r="AZ71" s="8">
        <f t="shared" si="35"/>
        <v>1.0583687179162178</v>
      </c>
      <c r="BA71" s="8">
        <f t="shared" si="12"/>
        <v>0.95238397025582533</v>
      </c>
      <c r="BB71" s="8">
        <f t="shared" si="13"/>
        <v>4.74924115523431E-2</v>
      </c>
    </row>
    <row r="72" spans="1:54">
      <c r="A72" s="2">
        <v>42345</v>
      </c>
      <c r="B72" s="3">
        <v>0.85509767320577357</v>
      </c>
      <c r="C72" s="3">
        <v>0.93237128220131205</v>
      </c>
      <c r="D72" s="3">
        <v>0.91329137874562349</v>
      </c>
      <c r="E72" s="3">
        <v>0.90279743184499484</v>
      </c>
      <c r="F72" s="3">
        <v>0.95208718243885693</v>
      </c>
      <c r="G72" s="3">
        <v>0.97371107302197057</v>
      </c>
      <c r="H72" s="3">
        <v>0.9183793530004738</v>
      </c>
      <c r="I72" s="3">
        <v>0.97752705371310822</v>
      </c>
      <c r="J72" s="3">
        <v>0.88562551873487527</v>
      </c>
      <c r="K72" s="3">
        <v>0.92028734334604267</v>
      </c>
      <c r="L72" s="3">
        <v>0.959083147039276</v>
      </c>
      <c r="M72" s="3">
        <v>0.90788540609984514</v>
      </c>
      <c r="N72" s="3">
        <v>0.92728330794646185</v>
      </c>
      <c r="O72" s="3">
        <v>1.0334947705164612</v>
      </c>
      <c r="P72" s="3">
        <v>0.96353512451226997</v>
      </c>
      <c r="Q72" s="3">
        <v>0.93483046975782302</v>
      </c>
      <c r="R72" s="3">
        <v>4.335811591335248E-2</v>
      </c>
      <c r="T72" s="3">
        <f t="shared" ref="T72:AG72" si="36">T18/31.4467</f>
        <v>0.7666941205277501</v>
      </c>
      <c r="U72" s="3">
        <f t="shared" si="36"/>
        <v>0.74984020580855859</v>
      </c>
      <c r="V72" s="3">
        <f t="shared" si="36"/>
        <v>0.83697176492286951</v>
      </c>
      <c r="W72" s="3">
        <f t="shared" si="36"/>
        <v>0.84873770538721083</v>
      </c>
      <c r="X72" s="3">
        <f t="shared" si="36"/>
        <v>0.77496207869188183</v>
      </c>
      <c r="Y72" s="3">
        <f t="shared" si="36"/>
        <v>0.81057789847583361</v>
      </c>
      <c r="Z72" s="3">
        <f t="shared" si="36"/>
        <v>0.78513802720158243</v>
      </c>
      <c r="AA72" s="3">
        <f t="shared" si="36"/>
        <v>0.77528007708280988</v>
      </c>
      <c r="AB72" s="3">
        <f t="shared" si="36"/>
        <v>0.90438742379963566</v>
      </c>
      <c r="AC72" s="3">
        <f t="shared" si="36"/>
        <v>0.81534787433975586</v>
      </c>
      <c r="AD72" s="3">
        <f t="shared" si="36"/>
        <v>0.78259404007415723</v>
      </c>
      <c r="AE72" s="3">
        <f t="shared" si="36"/>
        <v>0.7412542492534987</v>
      </c>
      <c r="AF72" s="3">
        <f t="shared" si="36"/>
        <v>0.8150298759488277</v>
      </c>
      <c r="AG72" s="3">
        <f t="shared" si="36"/>
        <v>0.87417757666146201</v>
      </c>
      <c r="AH72" s="3">
        <f t="shared" si="9"/>
        <v>0.80578520844113088</v>
      </c>
      <c r="AI72" s="3">
        <f t="shared" si="10"/>
        <v>4.7299597863996283E-2</v>
      </c>
      <c r="AK72" s="9">
        <v>42345</v>
      </c>
      <c r="AL72" s="8">
        <f>AL18/31.4467</f>
        <v>0.94445522105658142</v>
      </c>
      <c r="AM72" s="8">
        <f t="shared" ref="AM72:AZ72" si="37">AM18/31.4467</f>
        <v>0.87131559114310875</v>
      </c>
      <c r="AN72" s="8">
        <f t="shared" si="37"/>
        <v>0.9158353658730487</v>
      </c>
      <c r="AO72" s="8">
        <f t="shared" si="37"/>
        <v>0.99056498774116197</v>
      </c>
      <c r="AP72" s="8">
        <f t="shared" si="37"/>
        <v>0.92060534173697084</v>
      </c>
      <c r="AQ72" s="8">
        <f t="shared" si="37"/>
        <v>1.0484406948900837</v>
      </c>
      <c r="AR72" s="8">
        <f t="shared" si="37"/>
        <v>0.97720905532218005</v>
      </c>
      <c r="AS72" s="8">
        <f t="shared" si="37"/>
        <v>0.88149153965280935</v>
      </c>
      <c r="AT72" s="8">
        <f t="shared" si="37"/>
        <v>0.97784505210403638</v>
      </c>
      <c r="AU72" s="8">
        <f t="shared" si="37"/>
        <v>0.9794350440586771</v>
      </c>
      <c r="AV72" s="8">
        <f t="shared" si="37"/>
        <v>0.97466506819475485</v>
      </c>
      <c r="AW72" s="8">
        <f t="shared" si="37"/>
        <v>0.98261502796795841</v>
      </c>
      <c r="AX72" s="8">
        <f t="shared" si="37"/>
        <v>0.96130913577577304</v>
      </c>
      <c r="AY72" s="8">
        <f t="shared" si="37"/>
        <v>0.90979339644541402</v>
      </c>
      <c r="AZ72" s="8">
        <f t="shared" si="37"/>
        <v>1.0684745935185569</v>
      </c>
      <c r="BA72" s="8">
        <f t="shared" si="12"/>
        <v>0.96027034103207431</v>
      </c>
      <c r="BB72" s="8">
        <f t="shared" si="13"/>
        <v>5.5120291857598834E-2</v>
      </c>
    </row>
    <row r="73" spans="1:54">
      <c r="A73" s="2">
        <v>42352</v>
      </c>
      <c r="B73" s="3">
        <v>0.94521598848313992</v>
      </c>
      <c r="C73" s="3">
        <v>0.86660584114436168</v>
      </c>
      <c r="D73" s="3">
        <v>0.96068545522852189</v>
      </c>
      <c r="E73" s="3">
        <v>0.97710203218280489</v>
      </c>
      <c r="F73" s="3">
        <v>0.96763093009379542</v>
      </c>
      <c r="G73" s="3">
        <v>0.98752024448071529</v>
      </c>
      <c r="H73" s="3">
        <v>0.92911511493182386</v>
      </c>
      <c r="I73" s="3">
        <v>0.99920127039049345</v>
      </c>
      <c r="J73" s="3">
        <v>0.91995971624578143</v>
      </c>
      <c r="K73" s="3">
        <v>1.008672372479503</v>
      </c>
      <c r="L73" s="3">
        <v>0.94553169188610686</v>
      </c>
      <c r="M73" s="3">
        <v>0.91964401284281438</v>
      </c>
      <c r="N73" s="3">
        <v>0.96573670967599357</v>
      </c>
      <c r="O73" s="3">
        <v>0.98594172746588038</v>
      </c>
      <c r="P73" s="3">
        <v>0.92848370812588987</v>
      </c>
      <c r="Q73" s="3">
        <v>0.9538031210438418</v>
      </c>
      <c r="R73" s="3">
        <v>3.7295631516668384E-2</v>
      </c>
      <c r="T73" s="3">
        <f t="shared" ref="T73:AG73" si="38">T19/31.6753</f>
        <v>0.8675529513532626</v>
      </c>
      <c r="U73" s="3">
        <f t="shared" si="38"/>
        <v>0.77000059983646563</v>
      </c>
      <c r="V73" s="3">
        <f t="shared" si="38"/>
        <v>0.79715109249162597</v>
      </c>
      <c r="W73" s="3">
        <f t="shared" si="38"/>
        <v>0.7772617781047062</v>
      </c>
      <c r="X73" s="3">
        <f t="shared" si="38"/>
        <v>0.7646336419860269</v>
      </c>
      <c r="Y73" s="3">
        <f t="shared" si="38"/>
        <v>0.76431793858305996</v>
      </c>
      <c r="Z73" s="3">
        <f t="shared" si="38"/>
        <v>0.81419907625184285</v>
      </c>
      <c r="AA73" s="3">
        <f t="shared" si="38"/>
        <v>0.74758565822581002</v>
      </c>
      <c r="AB73" s="3">
        <f t="shared" si="38"/>
        <v>0.73779885273383361</v>
      </c>
      <c r="AC73" s="3">
        <f t="shared" si="38"/>
        <v>0.82777432257942307</v>
      </c>
      <c r="AD73" s="3">
        <f t="shared" si="38"/>
        <v>0.84545371314557405</v>
      </c>
      <c r="AE73" s="3">
        <f t="shared" si="38"/>
        <v>0.7772617781047062</v>
      </c>
      <c r="AF73" s="3">
        <f t="shared" si="38"/>
        <v>0.76210801476229117</v>
      </c>
      <c r="AG73" s="3">
        <f t="shared" si="38"/>
        <v>0.73590463231603165</v>
      </c>
      <c r="AH73" s="3">
        <f t="shared" si="9"/>
        <v>0.7849288607481899</v>
      </c>
      <c r="AI73" s="3">
        <f t="shared" si="10"/>
        <v>4.0238620836213809E-2</v>
      </c>
      <c r="AK73" s="9">
        <v>42352</v>
      </c>
      <c r="AL73" s="8">
        <f>AL19/31.6753</f>
        <v>0.93132503875259276</v>
      </c>
      <c r="AM73" s="8">
        <f t="shared" ref="AM73:AZ73" si="39">AM19/31.6753</f>
        <v>0.9524771667513805</v>
      </c>
      <c r="AN73" s="8">
        <f t="shared" si="39"/>
        <v>0.89817618144105971</v>
      </c>
      <c r="AO73" s="8">
        <f t="shared" si="39"/>
        <v>0.99572853295785668</v>
      </c>
      <c r="AP73" s="8">
        <f t="shared" si="39"/>
        <v>0.95089864973654559</v>
      </c>
      <c r="AQ73" s="8">
        <f t="shared" si="39"/>
        <v>0.99446571934598882</v>
      </c>
      <c r="AR73" s="8">
        <f t="shared" si="39"/>
        <v>1.0007797874053284</v>
      </c>
      <c r="AS73" s="8">
        <f t="shared" si="39"/>
        <v>0.93479777618522952</v>
      </c>
      <c r="AT73" s="8">
        <f t="shared" si="39"/>
        <v>0.98846735468961611</v>
      </c>
      <c r="AU73" s="8">
        <f t="shared" si="39"/>
        <v>1.007093855464668</v>
      </c>
      <c r="AV73" s="8">
        <f t="shared" si="39"/>
        <v>0.96605241307896061</v>
      </c>
      <c r="AW73" s="8">
        <f t="shared" si="39"/>
        <v>1.0184591779714793</v>
      </c>
      <c r="AX73" s="8">
        <f t="shared" si="39"/>
        <v>1.0184591779714793</v>
      </c>
      <c r="AY73" s="8">
        <f t="shared" si="39"/>
        <v>0.94553169188610686</v>
      </c>
      <c r="AZ73" s="8">
        <f t="shared" si="39"/>
        <v>1.108118944414102</v>
      </c>
      <c r="BA73" s="8">
        <f t="shared" si="12"/>
        <v>0.98072209787015951</v>
      </c>
      <c r="BB73" s="8">
        <f t="shared" si="13"/>
        <v>5.010966565130328E-2</v>
      </c>
    </row>
    <row r="74" spans="1:54">
      <c r="A74" s="2">
        <v>42359</v>
      </c>
      <c r="B74" s="3">
        <v>0.95933688688338647</v>
      </c>
      <c r="C74" s="3">
        <v>0.82858732702289328</v>
      </c>
      <c r="D74" s="3">
        <v>0.93227476867970305</v>
      </c>
      <c r="E74" s="3">
        <v>0.9383561435569352</v>
      </c>
      <c r="F74" s="3">
        <v>0.95051889331139983</v>
      </c>
      <c r="G74" s="3">
        <v>0.98700714257479327</v>
      </c>
      <c r="H74" s="3">
        <v>0.90916554414622042</v>
      </c>
      <c r="I74" s="3">
        <v>0.95933688688338647</v>
      </c>
      <c r="J74" s="3">
        <v>0.9699792929185429</v>
      </c>
      <c r="K74" s="3">
        <v>0.9383561435569352</v>
      </c>
      <c r="L74" s="3">
        <v>0.89943534434264882</v>
      </c>
      <c r="M74" s="3">
        <v>0.96359384929744907</v>
      </c>
      <c r="N74" s="3">
        <v>0.91068588786552851</v>
      </c>
      <c r="O74" s="3">
        <v>0.98974376126954766</v>
      </c>
      <c r="P74" s="3">
        <v>0.89061735077066206</v>
      </c>
      <c r="Q74" s="3">
        <v>0.93513301487200218</v>
      </c>
      <c r="R74" s="3">
        <v>4.227021148591549E-2</v>
      </c>
      <c r="T74" s="3">
        <f t="shared" ref="T74:AG74" si="40">T20/32.8873</f>
        <v>0.86933253870034932</v>
      </c>
      <c r="U74" s="3">
        <f t="shared" si="40"/>
        <v>0.8063903087209956</v>
      </c>
      <c r="V74" s="3">
        <f t="shared" si="40"/>
        <v>0.73645449763282467</v>
      </c>
      <c r="W74" s="3">
        <f t="shared" si="40"/>
        <v>0.70513541701507876</v>
      </c>
      <c r="X74" s="3">
        <f t="shared" si="40"/>
        <v>0.71516968556251193</v>
      </c>
      <c r="Y74" s="3">
        <f t="shared" si="40"/>
        <v>0.74770504115570435</v>
      </c>
      <c r="Z74" s="3">
        <f t="shared" si="40"/>
        <v>0.75500269100838302</v>
      </c>
      <c r="AA74" s="3">
        <f t="shared" si="40"/>
        <v>0.74648876618025795</v>
      </c>
      <c r="AB74" s="3">
        <f t="shared" si="40"/>
        <v>0.67442447388505589</v>
      </c>
      <c r="AC74" s="3">
        <f t="shared" si="40"/>
        <v>0.75044165985045885</v>
      </c>
      <c r="AD74" s="3">
        <f t="shared" si="40"/>
        <v>0.71516968556251193</v>
      </c>
      <c r="AE74" s="3">
        <f t="shared" si="40"/>
        <v>0.70695982947824842</v>
      </c>
      <c r="AF74" s="3">
        <f t="shared" si="40"/>
        <v>0.7376707726082713</v>
      </c>
      <c r="AG74" s="3">
        <f t="shared" si="40"/>
        <v>0.71395341058706552</v>
      </c>
      <c r="AH74" s="3">
        <f t="shared" si="9"/>
        <v>0.74144991271055127</v>
      </c>
      <c r="AI74" s="3">
        <f t="shared" si="10"/>
        <v>4.8100519207012193E-2</v>
      </c>
      <c r="AK74" s="9">
        <v>42359</v>
      </c>
      <c r="AL74" s="8">
        <f>AL20/32.8873</f>
        <v>0.94018055602010497</v>
      </c>
      <c r="AM74" s="8">
        <f t="shared" ref="AM74:AZ74" si="41">AM20/32.8873</f>
        <v>0.87115695116351888</v>
      </c>
      <c r="AN74" s="8">
        <f t="shared" si="41"/>
        <v>0.8544331702511303</v>
      </c>
      <c r="AO74" s="8">
        <f t="shared" si="41"/>
        <v>0.96389791804131064</v>
      </c>
      <c r="AP74" s="8">
        <f t="shared" si="41"/>
        <v>0.65587628050949753</v>
      </c>
      <c r="AQ74" s="8">
        <f t="shared" si="41"/>
        <v>1.0155896044977848</v>
      </c>
      <c r="AR74" s="8">
        <f t="shared" si="41"/>
        <v>0.99126410498885587</v>
      </c>
      <c r="AS74" s="8">
        <f t="shared" si="41"/>
        <v>0.9274096687779172</v>
      </c>
      <c r="AT74" s="8">
        <f t="shared" si="41"/>
        <v>1.0155896044977848</v>
      </c>
      <c r="AU74" s="8">
        <f t="shared" si="41"/>
        <v>0.96906708668695807</v>
      </c>
      <c r="AV74" s="8">
        <f t="shared" si="41"/>
        <v>0.95781654316407849</v>
      </c>
      <c r="AW74" s="8">
        <f t="shared" si="41"/>
        <v>0.90612485670760434</v>
      </c>
      <c r="AX74" s="8">
        <f t="shared" si="41"/>
        <v>0.9973454798660879</v>
      </c>
      <c r="AY74" s="8">
        <f t="shared" si="41"/>
        <v>0.92893001249722529</v>
      </c>
      <c r="AZ74" s="8">
        <f t="shared" si="41"/>
        <v>1.0849172780982324</v>
      </c>
      <c r="BA74" s="8">
        <f t="shared" si="12"/>
        <v>0.93863994105120629</v>
      </c>
      <c r="BB74" s="8">
        <f t="shared" si="13"/>
        <v>9.7931007109966897E-2</v>
      </c>
    </row>
    <row r="75" spans="1:54">
      <c r="A75" s="2">
        <v>42366</v>
      </c>
      <c r="B75" s="3">
        <v>0.98560320738670892</v>
      </c>
      <c r="C75" s="3">
        <v>0.94065119669541974</v>
      </c>
      <c r="D75" s="3">
        <v>0.94611833313084681</v>
      </c>
      <c r="E75" s="3">
        <v>0.86745231442109094</v>
      </c>
      <c r="F75" s="3">
        <v>1.0001822378811809</v>
      </c>
      <c r="G75" s="3">
        <v>0.96525331065484155</v>
      </c>
      <c r="H75" s="3">
        <v>0.92212367877536139</v>
      </c>
      <c r="I75" s="3">
        <v>0.99015915441623137</v>
      </c>
      <c r="J75" s="3">
        <v>1.036326084315393</v>
      </c>
      <c r="K75" s="3">
        <v>0.86745231442109094</v>
      </c>
      <c r="L75" s="3">
        <v>0.99319645243591315</v>
      </c>
      <c r="M75" s="3">
        <v>0.91453043372615717</v>
      </c>
      <c r="N75" s="3">
        <v>1.0165836471874621</v>
      </c>
      <c r="O75" s="3">
        <v>0.89387680719232177</v>
      </c>
      <c r="P75" s="3">
        <v>0.97892115174340899</v>
      </c>
      <c r="Q75" s="3">
        <v>0.95456202162556181</v>
      </c>
      <c r="R75" s="3">
        <v>5.2659775777607283E-2</v>
      </c>
      <c r="T75" s="3">
        <f t="shared" ref="T75:AG75" si="42">T21/32.924</f>
        <v>0.77845948244441743</v>
      </c>
      <c r="U75" s="3">
        <f t="shared" si="42"/>
        <v>0.73897460818855543</v>
      </c>
      <c r="V75" s="3">
        <f t="shared" si="42"/>
        <v>0.77724456323654478</v>
      </c>
      <c r="W75" s="3">
        <f t="shared" si="42"/>
        <v>0.67367270076539909</v>
      </c>
      <c r="X75" s="3">
        <f t="shared" si="42"/>
        <v>0.74960515125744143</v>
      </c>
      <c r="Y75" s="3">
        <f t="shared" si="42"/>
        <v>0.70920908759567491</v>
      </c>
      <c r="Z75" s="3">
        <f t="shared" si="42"/>
        <v>0.68551816304215774</v>
      </c>
      <c r="AA75" s="3">
        <f t="shared" si="42"/>
        <v>0.73775968898068278</v>
      </c>
      <c r="AB75" s="3">
        <f t="shared" si="42"/>
        <v>0.86805977402502732</v>
      </c>
      <c r="AC75" s="3">
        <f t="shared" si="42"/>
        <v>0.69341513789333009</v>
      </c>
      <c r="AD75" s="3">
        <f t="shared" si="42"/>
        <v>0.628416960272142</v>
      </c>
      <c r="AE75" s="3">
        <f t="shared" si="42"/>
        <v>0.70677924917992951</v>
      </c>
      <c r="AF75" s="3">
        <f t="shared" si="42"/>
        <v>0.80731381363139343</v>
      </c>
      <c r="AG75" s="3">
        <f t="shared" si="42"/>
        <v>0.72439557769408336</v>
      </c>
      <c r="AH75" s="3">
        <f t="shared" si="9"/>
        <v>0.73420171130048428</v>
      </c>
      <c r="AI75" s="3">
        <f t="shared" si="10"/>
        <v>6.0579314582003094E-2</v>
      </c>
      <c r="AK75" s="9">
        <v>42366</v>
      </c>
      <c r="AL75" s="8">
        <f>AL21/32.924</f>
        <v>0.99319645243591315</v>
      </c>
      <c r="AM75" s="8">
        <f t="shared" ref="AM75:AZ75" si="43">AM21/32.924</f>
        <v>0.90967075689466648</v>
      </c>
      <c r="AN75" s="8">
        <f t="shared" si="43"/>
        <v>0.93852508808164259</v>
      </c>
      <c r="AO75" s="8">
        <f t="shared" si="43"/>
        <v>0.91574535293402981</v>
      </c>
      <c r="AP75" s="8">
        <f t="shared" si="43"/>
        <v>0.98712185639654959</v>
      </c>
      <c r="AQ75" s="8">
        <f t="shared" si="43"/>
        <v>1.0308589478799659</v>
      </c>
      <c r="AR75" s="8">
        <f t="shared" si="43"/>
        <v>0.95826752520957359</v>
      </c>
      <c r="AS75" s="8">
        <f t="shared" si="43"/>
        <v>0.99623375045559459</v>
      </c>
      <c r="AT75" s="8">
        <f t="shared" si="43"/>
        <v>1.0375410035232657</v>
      </c>
      <c r="AU75" s="8">
        <f t="shared" si="43"/>
        <v>0.96434212124893692</v>
      </c>
      <c r="AV75" s="8">
        <f t="shared" si="43"/>
        <v>0.91574535293402981</v>
      </c>
      <c r="AW75" s="8">
        <f t="shared" si="43"/>
        <v>0.88962458996476734</v>
      </c>
      <c r="AX75" s="8">
        <f t="shared" si="43"/>
        <v>1.0314664074839024</v>
      </c>
      <c r="AY75" s="8">
        <f t="shared" si="43"/>
        <v>0.9245535171911069</v>
      </c>
      <c r="AZ75" s="8">
        <f t="shared" si="43"/>
        <v>1.1575142753006924</v>
      </c>
      <c r="BA75" s="8">
        <f t="shared" si="12"/>
        <v>0.9766937998623092</v>
      </c>
      <c r="BB75" s="8">
        <f t="shared" si="13"/>
        <v>6.9315702753899228E-2</v>
      </c>
    </row>
    <row r="76" spans="1:54">
      <c r="A76" s="2">
        <v>42373</v>
      </c>
      <c r="B76" s="3">
        <v>1.0042521298425773</v>
      </c>
      <c r="C76" s="3">
        <v>1.0248025796858802</v>
      </c>
      <c r="D76" s="3">
        <v>0.94441405529884281</v>
      </c>
      <c r="E76" s="3">
        <v>0.9163082930131492</v>
      </c>
      <c r="F76" s="3">
        <v>0.9226547554647575</v>
      </c>
      <c r="G76" s="3">
        <v>0.93716095535414767</v>
      </c>
      <c r="H76" s="3">
        <v>0.88094943078276056</v>
      </c>
      <c r="I76" s="3">
        <v>0.93444104287488705</v>
      </c>
      <c r="J76" s="3">
        <v>1.016038417252707</v>
      </c>
      <c r="K76" s="3">
        <v>0.9163082930131492</v>
      </c>
      <c r="L76" s="3">
        <v>0.92900121791636558</v>
      </c>
      <c r="M76" s="3">
        <v>0.87974058079197803</v>
      </c>
      <c r="N76" s="3">
        <v>0.91026404305923669</v>
      </c>
      <c r="O76" s="3">
        <v>0.88518040575049939</v>
      </c>
      <c r="P76" s="3">
        <v>1.0526061294738782</v>
      </c>
      <c r="Q76" s="3">
        <v>0.94360815530498776</v>
      </c>
      <c r="R76" s="3">
        <v>5.4900537564856307E-2</v>
      </c>
      <c r="T76" s="3">
        <f t="shared" ref="T76:AG76" si="44">T22/33.0893</f>
        <v>0.80358303137267939</v>
      </c>
      <c r="U76" s="3">
        <f t="shared" si="44"/>
        <v>0.68390688228521002</v>
      </c>
      <c r="V76" s="3">
        <f t="shared" si="44"/>
        <v>0.73316751940959768</v>
      </c>
      <c r="W76" s="3">
        <f t="shared" si="44"/>
        <v>0.65549890750182083</v>
      </c>
      <c r="X76" s="3">
        <f t="shared" si="44"/>
        <v>0.70203963214694776</v>
      </c>
      <c r="Y76" s="3">
        <f t="shared" si="44"/>
        <v>0.6715161698796891</v>
      </c>
      <c r="Z76" s="3">
        <f t="shared" si="44"/>
        <v>0.70355069463542597</v>
      </c>
      <c r="AA76" s="3">
        <f t="shared" si="44"/>
        <v>0.82564454370446028</v>
      </c>
      <c r="AB76" s="3">
        <f t="shared" si="44"/>
        <v>0.92053926798088803</v>
      </c>
      <c r="AC76" s="3">
        <f t="shared" si="44"/>
        <v>0.61107367034056315</v>
      </c>
      <c r="AD76" s="3">
        <f t="shared" si="44"/>
        <v>0.71443034455246857</v>
      </c>
      <c r="AE76" s="3">
        <f t="shared" si="44"/>
        <v>0.61590907030369324</v>
      </c>
      <c r="AF76" s="3">
        <f t="shared" si="44"/>
        <v>0.64885023255251695</v>
      </c>
      <c r="AG76" s="3">
        <f t="shared" si="44"/>
        <v>0.63827279513316992</v>
      </c>
      <c r="AH76" s="3">
        <f t="shared" si="9"/>
        <v>0.70914162584279516</v>
      </c>
      <c r="AI76" s="3">
        <f t="shared" si="10"/>
        <v>8.760271685873397E-2</v>
      </c>
      <c r="AK76" s="9">
        <v>42373</v>
      </c>
      <c r="AL76" s="8">
        <f>AL22/33.0893</f>
        <v>0.97070654259836253</v>
      </c>
      <c r="AM76" s="8">
        <f t="shared" ref="AM76:AZ76" si="45">AM22/33.0893</f>
        <v>1.0084831048103162</v>
      </c>
      <c r="AN76" s="8">
        <f t="shared" si="45"/>
        <v>0.99579017990709995</v>
      </c>
      <c r="AO76" s="8">
        <f t="shared" si="45"/>
        <v>0.91358838053388858</v>
      </c>
      <c r="AP76" s="8">
        <f t="shared" si="45"/>
        <v>0.94985388025736406</v>
      </c>
      <c r="AQ76" s="8">
        <f t="shared" si="45"/>
        <v>1.0362866545983143</v>
      </c>
      <c r="AR76" s="8">
        <f t="shared" si="45"/>
        <v>1.0078786798149251</v>
      </c>
      <c r="AS76" s="8">
        <f t="shared" si="45"/>
        <v>0.94622733028501649</v>
      </c>
      <c r="AT76" s="8">
        <f t="shared" si="45"/>
        <v>0.97947070503153577</v>
      </c>
      <c r="AU76" s="8">
        <f t="shared" si="45"/>
        <v>0.96164016766749372</v>
      </c>
      <c r="AV76" s="8">
        <f t="shared" si="45"/>
        <v>0.91600608051545351</v>
      </c>
      <c r="AW76" s="8">
        <f t="shared" si="45"/>
        <v>0.86160783093024029</v>
      </c>
      <c r="AX76" s="8">
        <f t="shared" si="45"/>
        <v>1.0099941672987944</v>
      </c>
      <c r="AY76" s="8">
        <f t="shared" si="45"/>
        <v>0.91358838053388858</v>
      </c>
      <c r="AZ76" s="8">
        <f t="shared" si="45"/>
        <v>0.94652954278271217</v>
      </c>
      <c r="BA76" s="8">
        <f t="shared" si="12"/>
        <v>0.96117677517102706</v>
      </c>
      <c r="BB76" s="8">
        <f t="shared" si="13"/>
        <v>4.7145131190423198E-2</v>
      </c>
    </row>
    <row r="77" spans="1:54">
      <c r="A77" s="2">
        <v>42380</v>
      </c>
      <c r="B77" s="3">
        <v>0.96669221844082476</v>
      </c>
      <c r="C77" s="3">
        <v>1.1098616923228353</v>
      </c>
      <c r="D77" s="3">
        <v>0.91151231704879987</v>
      </c>
      <c r="E77" s="3">
        <v>0.8778078367390767</v>
      </c>
      <c r="F77" s="3">
        <v>0.91419674468408763</v>
      </c>
      <c r="G77" s="3">
        <v>0.90763481046449546</v>
      </c>
      <c r="H77" s="3">
        <v>0.92314483680171333</v>
      </c>
      <c r="I77" s="3">
        <v>0.93179465918208471</v>
      </c>
      <c r="J77" s="3">
        <v>0.91807425126839215</v>
      </c>
      <c r="K77" s="3">
        <v>0.8778078367390767</v>
      </c>
      <c r="L77" s="3">
        <v>0.92821542233503451</v>
      </c>
      <c r="M77" s="3">
        <v>0.90226595519392017</v>
      </c>
      <c r="N77" s="3">
        <v>0.9458133368330317</v>
      </c>
      <c r="O77" s="3">
        <v>0.96132336317024936</v>
      </c>
      <c r="P77" s="3">
        <v>1.0135205671897323</v>
      </c>
      <c r="Q77" s="3">
        <v>0.93931105656089031</v>
      </c>
      <c r="R77" s="3">
        <v>5.8619592538119381E-2</v>
      </c>
      <c r="T77" s="3">
        <f t="shared" ref="T77:AG77" si="46">T23/33.5267</f>
        <v>0.81964523797450994</v>
      </c>
      <c r="U77" s="3">
        <f t="shared" si="46"/>
        <v>0.66245708644155266</v>
      </c>
      <c r="V77" s="3">
        <f t="shared" si="46"/>
        <v>0.76595668526875593</v>
      </c>
      <c r="W77" s="3">
        <f t="shared" si="46"/>
        <v>0.66931729039839893</v>
      </c>
      <c r="X77" s="3">
        <f t="shared" si="46"/>
        <v>0.67349306671995757</v>
      </c>
      <c r="Y77" s="3">
        <f t="shared" si="46"/>
        <v>0.6955650272767675</v>
      </c>
      <c r="Z77" s="3">
        <f t="shared" si="46"/>
        <v>0.64664879036708056</v>
      </c>
      <c r="AA77" s="3">
        <f t="shared" si="46"/>
        <v>0.72688334968845736</v>
      </c>
      <c r="AB77" s="3">
        <f t="shared" si="46"/>
        <v>0.80353867216278374</v>
      </c>
      <c r="AC77" s="3">
        <f t="shared" si="46"/>
        <v>0.66096573775528167</v>
      </c>
      <c r="AD77" s="3">
        <f t="shared" si="46"/>
        <v>0.73284874443354109</v>
      </c>
      <c r="AE77" s="3">
        <f t="shared" si="46"/>
        <v>0.69854772464930948</v>
      </c>
      <c r="AF77" s="3">
        <f t="shared" si="46"/>
        <v>0.69645983648853016</v>
      </c>
      <c r="AG77" s="3">
        <f t="shared" si="46"/>
        <v>0.6705103693474157</v>
      </c>
      <c r="AH77" s="3">
        <f t="shared" si="9"/>
        <v>0.70877411564088166</v>
      </c>
      <c r="AI77" s="3">
        <f t="shared" si="10"/>
        <v>5.4375459580646081E-2</v>
      </c>
      <c r="AK77" s="9">
        <v>42380</v>
      </c>
      <c r="AL77" s="8">
        <f>AL23/33.5267</f>
        <v>0.99771227111526051</v>
      </c>
      <c r="AM77" s="8">
        <f t="shared" ref="AM77:AZ77" si="47">AM23/33.5267</f>
        <v>1.0170998040367827</v>
      </c>
      <c r="AN77" s="8">
        <f t="shared" si="47"/>
        <v>0.95595450789967396</v>
      </c>
      <c r="AO77" s="8">
        <f t="shared" si="47"/>
        <v>0.90077460650764918</v>
      </c>
      <c r="AP77" s="8">
        <f t="shared" si="47"/>
        <v>0.89838844860961575</v>
      </c>
      <c r="AQ77" s="8">
        <f t="shared" si="47"/>
        <v>0.9672887579153332</v>
      </c>
      <c r="AR77" s="8">
        <f t="shared" si="47"/>
        <v>0.99174687637017667</v>
      </c>
      <c r="AS77" s="8">
        <f t="shared" si="47"/>
        <v>0.95983201448397848</v>
      </c>
      <c r="AT77" s="8">
        <f t="shared" si="47"/>
        <v>0.97086799476238339</v>
      </c>
      <c r="AU77" s="8">
        <f t="shared" si="47"/>
        <v>0.94879603420557346</v>
      </c>
      <c r="AV77" s="8">
        <f t="shared" si="47"/>
        <v>0.87035109330772198</v>
      </c>
      <c r="AW77" s="8">
        <f t="shared" si="47"/>
        <v>0.881387073586127</v>
      </c>
      <c r="AX77" s="8">
        <f t="shared" si="47"/>
        <v>1.0084499816564112</v>
      </c>
      <c r="AY77" s="8">
        <f t="shared" si="47"/>
        <v>0.94969084341733612</v>
      </c>
      <c r="AZ77" s="8">
        <f t="shared" si="47"/>
        <v>0.94879603420557346</v>
      </c>
      <c r="BA77" s="8">
        <f t="shared" si="12"/>
        <v>0.95114242280530648</v>
      </c>
      <c r="BB77" s="8">
        <f t="shared" si="13"/>
        <v>4.5455265995945418E-2</v>
      </c>
    </row>
    <row r="78" spans="1:54">
      <c r="A78" s="2">
        <v>42387</v>
      </c>
      <c r="B78" s="3">
        <v>0.9110851126060252</v>
      </c>
      <c r="C78" s="3">
        <v>1.0339280491371747</v>
      </c>
      <c r="D78" s="3">
        <v>0.81719801111436097</v>
      </c>
      <c r="E78" s="3">
        <v>0.95057034220532322</v>
      </c>
      <c r="F78" s="3">
        <v>0.95115530856975739</v>
      </c>
      <c r="G78" s="3">
        <v>0.96841181632056161</v>
      </c>
      <c r="H78" s="3">
        <v>0.92746417081017851</v>
      </c>
      <c r="I78" s="3">
        <v>0.96460953495174029</v>
      </c>
      <c r="J78" s="3">
        <v>0.86926001754899096</v>
      </c>
      <c r="K78" s="3">
        <v>0.95057034220532322</v>
      </c>
      <c r="L78" s="3">
        <v>0.91605732670371465</v>
      </c>
      <c r="M78" s="3">
        <v>0.9809885931558936</v>
      </c>
      <c r="N78" s="3">
        <v>0.98771570634688521</v>
      </c>
      <c r="O78" s="3">
        <v>1.0187189236618894</v>
      </c>
      <c r="P78" s="3">
        <v>0.98683825680023407</v>
      </c>
      <c r="Q78" s="3">
        <v>0.94897143414253693</v>
      </c>
      <c r="R78" s="3">
        <v>5.5661112494264892E-2</v>
      </c>
      <c r="T78" s="3">
        <f t="shared" ref="T78:AG78" si="48">T24/34.19</f>
        <v>0.71833869552500729</v>
      </c>
      <c r="U78" s="3">
        <f t="shared" si="48"/>
        <v>0.71599883006727116</v>
      </c>
      <c r="V78" s="3">
        <f t="shared" si="48"/>
        <v>0.65194501316174325</v>
      </c>
      <c r="W78" s="3">
        <f t="shared" si="48"/>
        <v>0.64755776542848797</v>
      </c>
      <c r="X78" s="3">
        <f t="shared" si="48"/>
        <v>0.67973091547236031</v>
      </c>
      <c r="Y78" s="3">
        <f t="shared" si="48"/>
        <v>0.68090084820122854</v>
      </c>
      <c r="Z78" s="3">
        <f t="shared" si="48"/>
        <v>0.67592863410353909</v>
      </c>
      <c r="AA78" s="3">
        <f t="shared" si="48"/>
        <v>0.62825387540216437</v>
      </c>
      <c r="AB78" s="3">
        <f t="shared" si="48"/>
        <v>0.64960514770400712</v>
      </c>
      <c r="AC78" s="3">
        <f t="shared" si="48"/>
        <v>0.80696109973676522</v>
      </c>
      <c r="AD78" s="3">
        <f t="shared" si="48"/>
        <v>0.63117870722433456</v>
      </c>
      <c r="AE78" s="3">
        <f t="shared" si="48"/>
        <v>0.62328166130447504</v>
      </c>
      <c r="AF78" s="3">
        <f t="shared" si="48"/>
        <v>0.66715413863702833</v>
      </c>
      <c r="AG78" s="3">
        <f t="shared" si="48"/>
        <v>0.68996782684995617</v>
      </c>
      <c r="AH78" s="3">
        <f t="shared" si="9"/>
        <v>0.67620022562988347</v>
      </c>
      <c r="AI78" s="3">
        <f t="shared" si="10"/>
        <v>4.804338405912801E-2</v>
      </c>
      <c r="AK78" s="9">
        <v>42387</v>
      </c>
      <c r="AL78" s="8">
        <f>AL24/34.19</f>
        <v>0.90231061713951455</v>
      </c>
      <c r="AM78" s="8">
        <f t="shared" ref="AM78:AZ78" si="49">AM24/34.19</f>
        <v>0.94062591400994444</v>
      </c>
      <c r="AN78" s="8">
        <f t="shared" si="49"/>
        <v>0.98713073998245104</v>
      </c>
      <c r="AO78" s="8">
        <f t="shared" si="49"/>
        <v>0.90611289850833587</v>
      </c>
      <c r="AP78" s="8">
        <f t="shared" si="49"/>
        <v>0.95291020766305934</v>
      </c>
      <c r="AQ78" s="8">
        <f t="shared" si="49"/>
        <v>0.95758993857853181</v>
      </c>
      <c r="AR78" s="8">
        <f t="shared" si="49"/>
        <v>0.89938578531734437</v>
      </c>
      <c r="AS78" s="8">
        <f t="shared" si="49"/>
        <v>0.9783562445159405</v>
      </c>
      <c r="AT78" s="8">
        <f t="shared" si="49"/>
        <v>0.97338403041825106</v>
      </c>
      <c r="AU78" s="8">
        <f t="shared" si="49"/>
        <v>0.97045919859608076</v>
      </c>
      <c r="AV78" s="8">
        <f t="shared" si="49"/>
        <v>0.87247733255337823</v>
      </c>
      <c r="AW78" s="8">
        <f t="shared" si="49"/>
        <v>0.83065223749634398</v>
      </c>
      <c r="AX78" s="8">
        <f t="shared" si="49"/>
        <v>1.0672711319099153</v>
      </c>
      <c r="AY78" s="8">
        <f t="shared" si="49"/>
        <v>0.91137759578824229</v>
      </c>
      <c r="AZ78" s="8">
        <f t="shared" si="49"/>
        <v>0.86194793799356539</v>
      </c>
      <c r="BA78" s="8">
        <f t="shared" si="12"/>
        <v>0.93413278736472649</v>
      </c>
      <c r="BB78" s="8">
        <f t="shared" si="13"/>
        <v>5.9485150420917378E-2</v>
      </c>
    </row>
    <row r="79" spans="1:54">
      <c r="A79" s="2">
        <v>42394</v>
      </c>
      <c r="B79" s="3">
        <v>0.96516288031805908</v>
      </c>
      <c r="C79" s="3">
        <v>1.0418876621319608</v>
      </c>
      <c r="D79" s="3">
        <v>0.86170067453870669</v>
      </c>
      <c r="E79" s="3">
        <v>0.97300973300357163</v>
      </c>
      <c r="F79" s="3">
        <v>1.0433407829996482</v>
      </c>
      <c r="G79" s="3">
        <v>0.97126598796234664</v>
      </c>
      <c r="H79" s="3">
        <v>0.97242848465649667</v>
      </c>
      <c r="I79" s="3">
        <v>0.96952224292112155</v>
      </c>
      <c r="J79" s="3">
        <v>0.91779114003144535</v>
      </c>
      <c r="K79" s="3">
        <v>0.97300973300357163</v>
      </c>
      <c r="L79" s="3">
        <v>0.98376282742445942</v>
      </c>
      <c r="M79" s="3">
        <v>1.0375282995288981</v>
      </c>
      <c r="N79" s="3">
        <v>0.9945159218453471</v>
      </c>
      <c r="O79" s="3">
        <v>1.0747281937416988</v>
      </c>
      <c r="P79" s="3">
        <v>1.0163127348606602</v>
      </c>
      <c r="Q79" s="3">
        <v>0.98639781993119935</v>
      </c>
      <c r="R79" s="3">
        <v>5.3104016647199083E-2</v>
      </c>
      <c r="T79" s="3">
        <f t="shared" ref="T79:AG79" si="50">T25/34.4087</f>
        <v>0.64780128281510196</v>
      </c>
      <c r="U79" s="3">
        <f t="shared" si="50"/>
        <v>0.68383868033375272</v>
      </c>
      <c r="V79" s="3">
        <f t="shared" si="50"/>
        <v>0.64867315533571446</v>
      </c>
      <c r="W79" s="3">
        <f t="shared" si="50"/>
        <v>0.7036011241343032</v>
      </c>
      <c r="X79" s="3">
        <f t="shared" si="50"/>
        <v>0.65913562558306471</v>
      </c>
      <c r="Y79" s="3">
        <f t="shared" si="50"/>
        <v>0.65187002124462701</v>
      </c>
      <c r="Z79" s="3">
        <f t="shared" si="50"/>
        <v>0.68674492206912774</v>
      </c>
      <c r="AA79" s="3">
        <f t="shared" si="50"/>
        <v>0.67889806938361508</v>
      </c>
      <c r="AB79" s="3">
        <f t="shared" si="50"/>
        <v>0.68238555946606527</v>
      </c>
      <c r="AC79" s="3">
        <f t="shared" si="50"/>
        <v>0.91314115325484535</v>
      </c>
      <c r="AD79" s="3">
        <f t="shared" si="50"/>
        <v>0.6762824518217776</v>
      </c>
      <c r="AE79" s="3">
        <f t="shared" si="50"/>
        <v>0.61844824128781384</v>
      </c>
      <c r="AF79" s="3">
        <f t="shared" si="50"/>
        <v>0.74080101834710399</v>
      </c>
      <c r="AG79" s="3">
        <f t="shared" si="50"/>
        <v>0.6608793706242897</v>
      </c>
      <c r="AH79" s="3">
        <f t="shared" si="9"/>
        <v>0.68946433397865747</v>
      </c>
      <c r="AI79" s="3">
        <f t="shared" si="10"/>
        <v>7.0620580032686925E-2</v>
      </c>
      <c r="AK79" s="9">
        <v>42394</v>
      </c>
      <c r="AL79" s="8">
        <f>AL25/34.4087</f>
        <v>0.89076309189245728</v>
      </c>
      <c r="AM79" s="8">
        <f t="shared" ref="AM79:AZ79" si="51">AM25/34.4087</f>
        <v>0.98666906915983454</v>
      </c>
      <c r="AN79" s="8">
        <f t="shared" si="51"/>
        <v>0.92825361027879572</v>
      </c>
      <c r="AO79" s="8">
        <f t="shared" si="51"/>
        <v>0.92302237515512064</v>
      </c>
      <c r="AP79" s="8">
        <f t="shared" si="51"/>
        <v>0.9544097858971714</v>
      </c>
      <c r="AQ79" s="8">
        <f t="shared" si="51"/>
        <v>0.90035368961919504</v>
      </c>
      <c r="AR79" s="8">
        <f t="shared" si="51"/>
        <v>0.95382853755009622</v>
      </c>
      <c r="AS79" s="8">
        <f t="shared" si="51"/>
        <v>0.95499103424424625</v>
      </c>
      <c r="AT79" s="8">
        <f t="shared" si="51"/>
        <v>0.89977244127212008</v>
      </c>
      <c r="AU79" s="8">
        <f t="shared" si="51"/>
        <v>0.97795034395370928</v>
      </c>
      <c r="AV79" s="8">
        <f t="shared" si="51"/>
        <v>0.85966630532394406</v>
      </c>
      <c r="AW79" s="8">
        <f t="shared" si="51"/>
        <v>0.83583512309386865</v>
      </c>
      <c r="AX79" s="8">
        <f t="shared" si="51"/>
        <v>0.9808565856890844</v>
      </c>
      <c r="AY79" s="8">
        <f t="shared" si="51"/>
        <v>0.98695969333337197</v>
      </c>
      <c r="AZ79" s="8">
        <f t="shared" si="51"/>
        <v>0.86053817784455666</v>
      </c>
      <c r="BA79" s="8">
        <f>AVERAGE(AL79:AZ79)</f>
        <v>0.92625799095383821</v>
      </c>
      <c r="BB79" s="8">
        <f t="shared" si="13"/>
        <v>4.9958729767394933E-2</v>
      </c>
    </row>
    <row r="80" spans="1:54">
      <c r="A80" s="2">
        <v>42401</v>
      </c>
      <c r="B80" s="3">
        <v>0.93684526463328976</v>
      </c>
      <c r="C80" s="3">
        <v>0.95986572370203938</v>
      </c>
      <c r="D80" s="3">
        <v>0.84214084441375037</v>
      </c>
      <c r="E80" s="3">
        <v>0.95432915759689707</v>
      </c>
      <c r="F80" s="3">
        <v>0.98813135065987112</v>
      </c>
      <c r="G80" s="3">
        <v>0.98288618277078887</v>
      </c>
      <c r="H80" s="3">
        <v>0.96744207731960263</v>
      </c>
      <c r="I80" s="3">
        <v>0.91877857523756234</v>
      </c>
      <c r="J80" s="3">
        <v>1.0137743936731618</v>
      </c>
      <c r="K80" s="3">
        <v>0.95432915759689707</v>
      </c>
      <c r="L80" s="3">
        <v>0.95199797186841617</v>
      </c>
      <c r="M80" s="3">
        <v>1.0041582525431778</v>
      </c>
      <c r="N80" s="3">
        <v>1.0184367651301238</v>
      </c>
      <c r="O80" s="3">
        <v>0.98317758098684915</v>
      </c>
      <c r="P80" s="3">
        <v>0.94820979505963454</v>
      </c>
      <c r="Q80" s="3">
        <v>0.96163353954613739</v>
      </c>
      <c r="R80" s="3">
        <v>4.3521509432180999E-2</v>
      </c>
      <c r="T80" s="3">
        <f t="shared" ref="T80:AG80" si="52">T26/34.3173</f>
        <v>0.64836103073376983</v>
      </c>
      <c r="U80" s="3">
        <f t="shared" si="52"/>
        <v>0.67662665769160157</v>
      </c>
      <c r="V80" s="3">
        <f t="shared" si="52"/>
        <v>0.66118255224041511</v>
      </c>
      <c r="W80" s="3">
        <f t="shared" si="52"/>
        <v>0.67954063985220281</v>
      </c>
      <c r="X80" s="3">
        <f t="shared" si="52"/>
        <v>0.68245462201280405</v>
      </c>
      <c r="Y80" s="3">
        <f t="shared" si="52"/>
        <v>0.67866644520402242</v>
      </c>
      <c r="Z80" s="3">
        <f t="shared" si="52"/>
        <v>0.72529015977364186</v>
      </c>
      <c r="AA80" s="3">
        <f t="shared" si="52"/>
        <v>0.62708896096138089</v>
      </c>
      <c r="AB80" s="3">
        <f t="shared" si="52"/>
        <v>0.69032237384642725</v>
      </c>
      <c r="AC80" s="3">
        <f t="shared" si="52"/>
        <v>0.79639132449231131</v>
      </c>
      <c r="AD80" s="3">
        <f t="shared" si="52"/>
        <v>0.65943416294405433</v>
      </c>
      <c r="AE80" s="3">
        <f t="shared" si="52"/>
        <v>0.6262147663132005</v>
      </c>
      <c r="AF80" s="3">
        <f t="shared" si="52"/>
        <v>0.77599344936810288</v>
      </c>
      <c r="AG80" s="3">
        <f t="shared" si="52"/>
        <v>0.6381620931716655</v>
      </c>
      <c r="AH80" s="3">
        <f t="shared" si="9"/>
        <v>0.68326637418611447</v>
      </c>
      <c r="AI80" s="3">
        <f t="shared" si="10"/>
        <v>5.1148631178664208E-2</v>
      </c>
      <c r="AK80" s="9">
        <v>42401</v>
      </c>
      <c r="AL80" s="8">
        <f>AL26/34.3173</f>
        <v>0.89663231081699313</v>
      </c>
      <c r="AM80" s="8">
        <f t="shared" ref="AM80:AZ80" si="53">AM26/34.3173</f>
        <v>0.94995818435599533</v>
      </c>
      <c r="AN80" s="8">
        <f t="shared" si="53"/>
        <v>0.89954629297759436</v>
      </c>
      <c r="AO80" s="8">
        <f t="shared" si="53"/>
        <v>0.88439358574246807</v>
      </c>
      <c r="AP80" s="8">
        <f t="shared" si="53"/>
        <v>0.90042048762577465</v>
      </c>
      <c r="AQ80" s="8">
        <f t="shared" si="53"/>
        <v>0.8602075338094779</v>
      </c>
      <c r="AR80" s="8">
        <f t="shared" si="53"/>
        <v>0.91761298237332178</v>
      </c>
      <c r="AS80" s="8">
        <f t="shared" si="53"/>
        <v>0.88555917860670852</v>
      </c>
      <c r="AT80" s="8">
        <f t="shared" si="53"/>
        <v>0.90158608049001521</v>
      </c>
      <c r="AU80" s="8">
        <f t="shared" si="53"/>
        <v>0.90216887692213543</v>
      </c>
      <c r="AV80" s="8">
        <f t="shared" si="53"/>
        <v>0.85321397662403509</v>
      </c>
      <c r="AW80" s="8">
        <f t="shared" si="53"/>
        <v>0.85263118019191486</v>
      </c>
      <c r="AX80" s="8">
        <f t="shared" si="53"/>
        <v>0.84330643727799093</v>
      </c>
      <c r="AY80" s="8">
        <f t="shared" si="53"/>
        <v>0.96015712191809965</v>
      </c>
      <c r="AZ80" s="8">
        <f t="shared" si="53"/>
        <v>0.84796880873495284</v>
      </c>
      <c r="BA80" s="8">
        <f t="shared" si="12"/>
        <v>0.89035753589783206</v>
      </c>
      <c r="BB80" s="8">
        <f t="shared" si="13"/>
        <v>3.5293548029323933E-2</v>
      </c>
    </row>
    <row r="81" spans="1:54">
      <c r="A81" s="2">
        <v>42408</v>
      </c>
      <c r="B81" s="3">
        <v>0.93267302372022109</v>
      </c>
      <c r="C81" s="3">
        <v>0.96986550626121137</v>
      </c>
      <c r="D81" s="3">
        <v>0.84198058552411359</v>
      </c>
      <c r="E81" s="3">
        <v>0.95670508936209164</v>
      </c>
      <c r="F81" s="3">
        <v>0.99847510821581942</v>
      </c>
      <c r="G81" s="3">
        <v>0.89118910088603942</v>
      </c>
      <c r="H81" s="3">
        <v>0.9123602063324493</v>
      </c>
      <c r="I81" s="3">
        <v>0.93124254362249048</v>
      </c>
      <c r="J81" s="3">
        <v>0.92580671925111513</v>
      </c>
      <c r="K81" s="3">
        <v>0.95241364906890047</v>
      </c>
      <c r="L81" s="3">
        <v>0.9123602063324493</v>
      </c>
      <c r="M81" s="3">
        <v>0.98960613160989108</v>
      </c>
      <c r="N81" s="3">
        <v>0.99132270772716735</v>
      </c>
      <c r="O81" s="3">
        <v>0.97186817839803397</v>
      </c>
      <c r="P81" s="3">
        <v>0.91064363021517281</v>
      </c>
      <c r="Q81" s="3">
        <v>0.93923415910181118</v>
      </c>
      <c r="R81" s="3">
        <v>4.2726594540397574E-2</v>
      </c>
      <c r="T81" s="3">
        <f t="shared" ref="T81:AG81" si="54">T27/34.9533</f>
        <v>0.63227220319683697</v>
      </c>
      <c r="U81" s="3">
        <f t="shared" si="54"/>
        <v>0.73211971401841891</v>
      </c>
      <c r="V81" s="3">
        <f t="shared" si="54"/>
        <v>0.66631762952282048</v>
      </c>
      <c r="W81" s="3">
        <f t="shared" si="54"/>
        <v>0.68519996681286177</v>
      </c>
      <c r="X81" s="3">
        <f t="shared" si="54"/>
        <v>0.67203954991374204</v>
      </c>
      <c r="Y81" s="3">
        <f t="shared" si="54"/>
        <v>0.70351011206381087</v>
      </c>
      <c r="Z81" s="3">
        <f t="shared" si="54"/>
        <v>0.66631762952282048</v>
      </c>
      <c r="AA81" s="3">
        <f t="shared" si="54"/>
        <v>0.73469457819433359</v>
      </c>
      <c r="AB81" s="3">
        <f t="shared" si="54"/>
        <v>0.61739521018044075</v>
      </c>
      <c r="AC81" s="3">
        <f t="shared" si="54"/>
        <v>0.72439512149067475</v>
      </c>
      <c r="AD81" s="3">
        <f t="shared" si="54"/>
        <v>0.66431495738599788</v>
      </c>
      <c r="AE81" s="3">
        <f t="shared" si="54"/>
        <v>0.65659036485825373</v>
      </c>
      <c r="AF81" s="3">
        <f t="shared" si="54"/>
        <v>0.643429947959134</v>
      </c>
      <c r="AG81" s="3">
        <f t="shared" si="54"/>
        <v>0.64228556388094971</v>
      </c>
      <c r="AH81" s="3">
        <f t="shared" si="9"/>
        <v>0.67434875350007839</v>
      </c>
      <c r="AI81" s="3">
        <f t="shared" si="10"/>
        <v>3.7210839667763541E-2</v>
      </c>
      <c r="AK81" s="9">
        <v>42408</v>
      </c>
      <c r="AL81" s="8">
        <f>AL27/34.9533</f>
        <v>0.86400997902916177</v>
      </c>
      <c r="AM81" s="8">
        <f t="shared" ref="AM81:AZ81" si="55">AM27/34.9533</f>
        <v>0.88460889243647967</v>
      </c>
      <c r="AN81" s="8">
        <f t="shared" si="55"/>
        <v>0.86400997902916177</v>
      </c>
      <c r="AO81" s="8">
        <f t="shared" si="55"/>
        <v>0.88632546855375605</v>
      </c>
      <c r="AP81" s="8">
        <f t="shared" si="55"/>
        <v>0.87287895563509033</v>
      </c>
      <c r="AQ81" s="8">
        <f t="shared" si="55"/>
        <v>0.84569983377821267</v>
      </c>
      <c r="AR81" s="8">
        <f t="shared" si="55"/>
        <v>0.88575327651466396</v>
      </c>
      <c r="AS81" s="8">
        <f t="shared" si="55"/>
        <v>0.88632546855375605</v>
      </c>
      <c r="AT81" s="8">
        <f t="shared" si="55"/>
        <v>0.86343778699006968</v>
      </c>
      <c r="AU81" s="8">
        <f t="shared" si="55"/>
        <v>0.86429607504870787</v>
      </c>
      <c r="AV81" s="8">
        <f t="shared" si="55"/>
        <v>0.85170785018868034</v>
      </c>
      <c r="AW81" s="8">
        <f t="shared" si="55"/>
        <v>0.82910626464454007</v>
      </c>
      <c r="AX81" s="8">
        <f t="shared" si="55"/>
        <v>0.83625866513319203</v>
      </c>
      <c r="AY81" s="8">
        <f t="shared" si="55"/>
        <v>0.90406342176561305</v>
      </c>
      <c r="AZ81" s="8">
        <f t="shared" si="55"/>
        <v>0.83883352930910671</v>
      </c>
      <c r="BA81" s="8">
        <f t="shared" si="12"/>
        <v>0.86515436310734606</v>
      </c>
      <c r="BB81" s="8">
        <f t="shared" si="13"/>
        <v>2.1820063720830511E-2</v>
      </c>
    </row>
    <row r="82" spans="1:54">
      <c r="A82" s="2">
        <v>42415</v>
      </c>
      <c r="B82" s="3">
        <v>0.9379930956030339</v>
      </c>
      <c r="C82" s="3">
        <v>0.97130130664160086</v>
      </c>
      <c r="D82" s="3">
        <v>0.91145943596214163</v>
      </c>
      <c r="E82" s="3">
        <v>0.97807585803927555</v>
      </c>
      <c r="F82" s="3">
        <v>0.99106041488481855</v>
      </c>
      <c r="G82" s="3">
        <v>0.90186215481543586</v>
      </c>
      <c r="H82" s="3">
        <v>0.94674355782503039</v>
      </c>
      <c r="I82" s="3">
        <v>0.93093627123045608</v>
      </c>
      <c r="J82" s="3">
        <v>0.95718765789644533</v>
      </c>
      <c r="K82" s="3">
        <v>0.83072936513985218</v>
      </c>
      <c r="L82" s="3">
        <v>0.96904312284237604</v>
      </c>
      <c r="M82" s="3">
        <v>0.99839951223229939</v>
      </c>
      <c r="N82" s="3">
        <v>0.99642360140797759</v>
      </c>
      <c r="O82" s="3">
        <v>0.94279173617638679</v>
      </c>
      <c r="P82" s="3">
        <v>0.9430740091512898</v>
      </c>
      <c r="Q82" s="3">
        <v>0.94713873998989473</v>
      </c>
      <c r="R82" s="3">
        <v>4.3394665083629567E-2</v>
      </c>
      <c r="T82" s="3">
        <f t="shared" ref="T82:AG82" si="56">T28/35.4267</f>
        <v>0.61704872313819803</v>
      </c>
      <c r="U82" s="3">
        <f t="shared" si="56"/>
        <v>0.76100794033878416</v>
      </c>
      <c r="V82" s="3">
        <f t="shared" si="56"/>
        <v>0.66672876672114545</v>
      </c>
      <c r="W82" s="3">
        <f t="shared" si="56"/>
        <v>0.68564105603965375</v>
      </c>
      <c r="X82" s="3">
        <f t="shared" si="56"/>
        <v>0.68338287224042893</v>
      </c>
      <c r="Y82" s="3">
        <f t="shared" si="56"/>
        <v>0.65826057747405209</v>
      </c>
      <c r="Z82" s="3">
        <f t="shared" si="56"/>
        <v>0.62692827725980693</v>
      </c>
      <c r="AA82" s="3">
        <f t="shared" si="56"/>
        <v>0.66588194779643606</v>
      </c>
      <c r="AB82" s="3">
        <f t="shared" si="56"/>
        <v>0.65713148557443968</v>
      </c>
      <c r="AC82" s="3">
        <f t="shared" si="56"/>
        <v>0.72515927252608914</v>
      </c>
      <c r="AD82" s="3">
        <f t="shared" si="56"/>
        <v>0.66023648829837389</v>
      </c>
      <c r="AE82" s="3">
        <f t="shared" si="56"/>
        <v>0.63765465030612511</v>
      </c>
      <c r="AF82" s="3">
        <f t="shared" si="56"/>
        <v>0.64640511252812149</v>
      </c>
      <c r="AG82" s="3">
        <f t="shared" si="56"/>
        <v>0.68535878306475073</v>
      </c>
      <c r="AH82" s="3">
        <f t="shared" si="9"/>
        <v>0.66977328237902889</v>
      </c>
      <c r="AI82" s="3">
        <f t="shared" si="10"/>
        <v>3.7898910708954951E-2</v>
      </c>
      <c r="AK82" s="9">
        <v>42415</v>
      </c>
      <c r="AL82" s="8">
        <f>AL28/35.4267</f>
        <v>0.87476394922473732</v>
      </c>
      <c r="AM82" s="8">
        <f t="shared" ref="AM82:AZ82" si="57">AM28/35.4267</f>
        <v>0.88915987094479598</v>
      </c>
      <c r="AN82" s="8">
        <f t="shared" si="57"/>
        <v>0.86770712485215962</v>
      </c>
      <c r="AO82" s="8">
        <f t="shared" si="57"/>
        <v>0.85020620040816686</v>
      </c>
      <c r="AP82" s="8">
        <f t="shared" si="57"/>
        <v>0.86516666807803155</v>
      </c>
      <c r="AQ82" s="8">
        <f t="shared" si="57"/>
        <v>0.87222349245060937</v>
      </c>
      <c r="AR82" s="8">
        <f t="shared" si="57"/>
        <v>0.8953698763926643</v>
      </c>
      <c r="AS82" s="8">
        <f t="shared" si="57"/>
        <v>0.8279066353908211</v>
      </c>
      <c r="AT82" s="8">
        <f t="shared" si="57"/>
        <v>0.86742485187725649</v>
      </c>
      <c r="AU82" s="8">
        <f t="shared" si="57"/>
        <v>0.80193752169973498</v>
      </c>
      <c r="AV82" s="8">
        <f t="shared" si="57"/>
        <v>0.82960027324023977</v>
      </c>
      <c r="AW82" s="8">
        <f t="shared" si="57"/>
        <v>0.83835073546223615</v>
      </c>
      <c r="AX82" s="8">
        <f t="shared" si="57"/>
        <v>0.85415802205681035</v>
      </c>
      <c r="AY82" s="8">
        <f t="shared" si="57"/>
        <v>0.80871207309740967</v>
      </c>
      <c r="AZ82" s="8">
        <f t="shared" si="57"/>
        <v>0.82677754349120869</v>
      </c>
      <c r="BA82" s="8">
        <f t="shared" si="12"/>
        <v>0.85129765591112549</v>
      </c>
      <c r="BB82" s="8">
        <f t="shared" si="13"/>
        <v>2.8198625500729525E-2</v>
      </c>
    </row>
    <row r="83" spans="1:54">
      <c r="A83" s="2">
        <v>42422</v>
      </c>
      <c r="B83" s="3">
        <v>0.90699509436399428</v>
      </c>
      <c r="C83" s="3">
        <v>0.94406114775595928</v>
      </c>
      <c r="D83" s="3">
        <v>0.9331098137992424</v>
      </c>
      <c r="E83" s="3">
        <v>0.95810131949534005</v>
      </c>
      <c r="F83" s="3">
        <v>0.9791615771044111</v>
      </c>
      <c r="G83" s="3">
        <v>0.9331098137992424</v>
      </c>
      <c r="H83" s="3">
        <v>0.996009783191668</v>
      </c>
      <c r="I83" s="3">
        <v>0.97579193588695978</v>
      </c>
      <c r="J83" s="3">
        <v>0.94462275462553469</v>
      </c>
      <c r="K83" s="3">
        <v>0.82780852575388708</v>
      </c>
      <c r="L83" s="3">
        <v>0.91541919740762279</v>
      </c>
      <c r="M83" s="3">
        <v>0.97691514962611026</v>
      </c>
      <c r="N83" s="3">
        <v>0.95023882332128706</v>
      </c>
      <c r="O83" s="3">
        <v>0.82949334636261274</v>
      </c>
      <c r="P83" s="3">
        <v>0.8519576211456219</v>
      </c>
      <c r="Q83" s="3">
        <v>0.92818639357596644</v>
      </c>
      <c r="R83" s="3">
        <v>5.3472320831559027E-2</v>
      </c>
      <c r="T83" s="3">
        <f t="shared" ref="T83:AG83" si="58">T29/35.6121</f>
        <v>0.60597381227167169</v>
      </c>
      <c r="U83" s="3">
        <f t="shared" si="58"/>
        <v>0.67701708127293814</v>
      </c>
      <c r="V83" s="3">
        <f t="shared" si="58"/>
        <v>0.67982511562081438</v>
      </c>
      <c r="W83" s="3">
        <f t="shared" si="58"/>
        <v>0.64191665192448633</v>
      </c>
      <c r="X83" s="3">
        <f t="shared" si="58"/>
        <v>0.65399119962035379</v>
      </c>
      <c r="Y83" s="3">
        <f t="shared" si="58"/>
        <v>0.69133805644710655</v>
      </c>
      <c r="Z83" s="3">
        <f t="shared" si="58"/>
        <v>0.62310282179371623</v>
      </c>
      <c r="AA83" s="3">
        <f t="shared" si="58"/>
        <v>0.66073048205525653</v>
      </c>
      <c r="AB83" s="3">
        <f t="shared" si="58"/>
        <v>0.57901668253206084</v>
      </c>
      <c r="AC83" s="3">
        <f t="shared" si="58"/>
        <v>0.65371039618556626</v>
      </c>
      <c r="AD83" s="3">
        <f t="shared" si="58"/>
        <v>0.66915458509888492</v>
      </c>
      <c r="AE83" s="3">
        <f t="shared" si="58"/>
        <v>0.64444388283757492</v>
      </c>
      <c r="AF83" s="3">
        <f t="shared" si="58"/>
        <v>0.60428899166294603</v>
      </c>
      <c r="AG83" s="3">
        <f t="shared" si="58"/>
        <v>0.637142993533097</v>
      </c>
      <c r="AH83" s="3">
        <f t="shared" si="9"/>
        <v>0.64440376806117661</v>
      </c>
      <c r="AI83" s="3">
        <f t="shared" si="10"/>
        <v>3.2169010946601878E-2</v>
      </c>
      <c r="AK83" s="9">
        <v>42422</v>
      </c>
      <c r="AL83" s="8">
        <f>AL29/35.6121</f>
        <v>0.9168232145815608</v>
      </c>
      <c r="AM83" s="8">
        <f t="shared" ref="AM83:AZ83" si="59">AM29/35.6121</f>
        <v>0.85280003144998473</v>
      </c>
      <c r="AN83" s="8">
        <f t="shared" si="59"/>
        <v>0.8915509054506755</v>
      </c>
      <c r="AO83" s="8">
        <f t="shared" si="59"/>
        <v>0.91120714588580864</v>
      </c>
      <c r="AP83" s="8">
        <f t="shared" si="59"/>
        <v>0.87751073371129484</v>
      </c>
      <c r="AQ83" s="8">
        <f t="shared" si="59"/>
        <v>0.83342459444963934</v>
      </c>
      <c r="AR83" s="8">
        <f t="shared" si="59"/>
        <v>0.90755670123356957</v>
      </c>
      <c r="AS83" s="8">
        <f t="shared" si="59"/>
        <v>0.82331567079728529</v>
      </c>
      <c r="AT83" s="8">
        <f t="shared" si="59"/>
        <v>0.81854201240589575</v>
      </c>
      <c r="AU83" s="8">
        <f t="shared" si="59"/>
        <v>0.79888577197076271</v>
      </c>
      <c r="AV83" s="8">
        <f t="shared" si="59"/>
        <v>0.81264514027535595</v>
      </c>
      <c r="AW83" s="8">
        <f t="shared" si="59"/>
        <v>0.82612370514516142</v>
      </c>
      <c r="AX83" s="8">
        <f t="shared" si="59"/>
        <v>0.74497151249154092</v>
      </c>
      <c r="AY83" s="8">
        <f t="shared" si="59"/>
        <v>0.78063354870956791</v>
      </c>
      <c r="AZ83" s="8">
        <f t="shared" si="59"/>
        <v>0.76940141131806328</v>
      </c>
      <c r="BA83" s="8">
        <f t="shared" si="12"/>
        <v>0.83769280665841106</v>
      </c>
      <c r="BB83" s="8">
        <f t="shared" si="13"/>
        <v>5.3876136963519138E-2</v>
      </c>
    </row>
    <row r="84" spans="1:54">
      <c r="A84" s="2">
        <v>42429</v>
      </c>
      <c r="B84" s="3">
        <v>0.91153570826435071</v>
      </c>
      <c r="C84" s="3">
        <v>0.85072980898655914</v>
      </c>
      <c r="D84" s="3">
        <v>0.96266794174794845</v>
      </c>
      <c r="E84" s="3">
        <v>0.69014695680293636</v>
      </c>
      <c r="F84" s="3">
        <v>1.0099307089138683</v>
      </c>
      <c r="G84" s="3">
        <v>0.93530528707294225</v>
      </c>
      <c r="H84" s="3">
        <v>0.93447611571915412</v>
      </c>
      <c r="I84" s="3">
        <v>0.93862197248809442</v>
      </c>
      <c r="J84" s="3">
        <v>0.93862197248809442</v>
      </c>
      <c r="K84" s="3">
        <v>0.86316737929338017</v>
      </c>
      <c r="L84" s="3">
        <v>0.98699030145906519</v>
      </c>
      <c r="M84" s="3">
        <v>0.90794263239793593</v>
      </c>
      <c r="N84" s="3">
        <v>0.96322072265047387</v>
      </c>
      <c r="O84" s="3">
        <v>0.81286431716357055</v>
      </c>
      <c r="P84" s="3">
        <v>0.86703684561105787</v>
      </c>
      <c r="Q84" s="3">
        <v>0.90488391140396207</v>
      </c>
      <c r="R84" s="3">
        <v>7.9881449066553242E-2</v>
      </c>
      <c r="T84" s="3">
        <f t="shared" ref="T84:AG84" si="60">T30/36.1807</f>
        <v>0.57046989140619164</v>
      </c>
      <c r="U84" s="3">
        <f t="shared" si="60"/>
        <v>0.67135240611707336</v>
      </c>
      <c r="V84" s="3">
        <f t="shared" si="60"/>
        <v>0.71585126877036642</v>
      </c>
      <c r="W84" s="3">
        <f t="shared" si="60"/>
        <v>0.73215830539486515</v>
      </c>
      <c r="X84" s="3">
        <f t="shared" si="60"/>
        <v>0.62270768669484011</v>
      </c>
      <c r="Y84" s="3">
        <f t="shared" si="60"/>
        <v>0.58843527073826651</v>
      </c>
      <c r="Z84" s="3">
        <f t="shared" si="60"/>
        <v>0.59672698427614723</v>
      </c>
      <c r="AA84" s="3">
        <f t="shared" si="60"/>
        <v>0.6417786278319656</v>
      </c>
      <c r="AB84" s="3">
        <f t="shared" si="60"/>
        <v>0.5688115486986155</v>
      </c>
      <c r="AC84" s="3">
        <f t="shared" si="60"/>
        <v>0.6528342458824733</v>
      </c>
      <c r="AD84" s="3">
        <f t="shared" si="60"/>
        <v>0.62132573443852657</v>
      </c>
      <c r="AE84" s="3">
        <f t="shared" si="60"/>
        <v>0.6533870267849986</v>
      </c>
      <c r="AF84" s="3">
        <f t="shared" si="60"/>
        <v>0.64094945647817758</v>
      </c>
      <c r="AG84" s="3">
        <f t="shared" si="60"/>
        <v>0.62436602940241615</v>
      </c>
      <c r="AH84" s="3">
        <f t="shared" si="9"/>
        <v>0.63579674877963743</v>
      </c>
      <c r="AI84" s="3">
        <f t="shared" si="10"/>
        <v>4.8560885309870253E-2</v>
      </c>
      <c r="AK84" s="9">
        <v>42429</v>
      </c>
      <c r="AL84" s="8">
        <f>AL30/36.1807</f>
        <v>0.82972413469059469</v>
      </c>
      <c r="AM84" s="8">
        <f t="shared" ref="AM84:AZ84" si="61">AM30/36.1807</f>
        <v>0.85459927530423685</v>
      </c>
      <c r="AN84" s="8">
        <f t="shared" si="61"/>
        <v>0.89357032893227595</v>
      </c>
      <c r="AO84" s="8">
        <f t="shared" si="61"/>
        <v>0.86565489335474433</v>
      </c>
      <c r="AP84" s="8">
        <f t="shared" si="61"/>
        <v>0.89937452840879251</v>
      </c>
      <c r="AQ84" s="8">
        <f t="shared" si="61"/>
        <v>0.81396987896862139</v>
      </c>
      <c r="AR84" s="8">
        <f t="shared" si="61"/>
        <v>0.83248803920322156</v>
      </c>
      <c r="AS84" s="8">
        <f t="shared" si="61"/>
        <v>0.82253798295776481</v>
      </c>
      <c r="AT84" s="8">
        <f t="shared" si="61"/>
        <v>0.80208508956432567</v>
      </c>
      <c r="AU84" s="8">
        <f t="shared" si="61"/>
        <v>0.77831551075573435</v>
      </c>
      <c r="AV84" s="8">
        <f t="shared" si="61"/>
        <v>0.77720994895068363</v>
      </c>
      <c r="AW84" s="8">
        <f t="shared" si="61"/>
        <v>0.80733650813831681</v>
      </c>
      <c r="AX84" s="8">
        <f t="shared" si="61"/>
        <v>0.83856862913100072</v>
      </c>
      <c r="AY84" s="8">
        <f t="shared" si="61"/>
        <v>0.74929451337315189</v>
      </c>
      <c r="AZ84" s="8">
        <f t="shared" si="61"/>
        <v>0.75399315104461773</v>
      </c>
      <c r="BA84" s="8">
        <f t="shared" si="12"/>
        <v>0.82124816085187224</v>
      </c>
      <c r="BB84" s="8">
        <f t="shared" si="13"/>
        <v>4.5524867883694704E-2</v>
      </c>
    </row>
    <row r="85" spans="1:54">
      <c r="A85" s="2">
        <v>42436</v>
      </c>
      <c r="B85" s="3">
        <v>0.89721584753879613</v>
      </c>
      <c r="C85" s="3">
        <v>0.81098707387022562</v>
      </c>
      <c r="D85" s="3">
        <v>0.92723219280317171</v>
      </c>
      <c r="E85" s="3">
        <v>0.97907860735073005</v>
      </c>
      <c r="F85" s="3">
        <v>1.0020001800980716</v>
      </c>
      <c r="G85" s="3">
        <v>0.93077957906168896</v>
      </c>
      <c r="H85" s="3">
        <v>0.92614068933901261</v>
      </c>
      <c r="I85" s="3">
        <v>0.9476978827561553</v>
      </c>
      <c r="J85" s="3">
        <v>0.90376486832375069</v>
      </c>
      <c r="K85" s="3">
        <v>0.95042664141655309</v>
      </c>
      <c r="L85" s="3">
        <v>0.96789069684309903</v>
      </c>
      <c r="M85" s="3">
        <v>0.87756878518393178</v>
      </c>
      <c r="N85" s="3">
        <v>0.97143808310161617</v>
      </c>
      <c r="O85" s="3">
        <v>0.82790537756469196</v>
      </c>
      <c r="P85" s="3">
        <v>0.85137270204411308</v>
      </c>
      <c r="Q85" s="3">
        <v>0.91809994715304055</v>
      </c>
      <c r="R85" s="3">
        <v>5.64780409236256E-2</v>
      </c>
      <c r="T85" s="3">
        <f t="shared" ref="T85:AG85" si="62">T31/36.6467</f>
        <v>0.60824030540266916</v>
      </c>
      <c r="U85" s="3">
        <f t="shared" si="62"/>
        <v>0.61151481579514655</v>
      </c>
      <c r="V85" s="3">
        <f t="shared" si="62"/>
        <v>0.61642658138386264</v>
      </c>
      <c r="W85" s="3">
        <f t="shared" si="62"/>
        <v>0.68109816163529047</v>
      </c>
      <c r="X85" s="3">
        <f t="shared" si="62"/>
        <v>0.65053606463883507</v>
      </c>
      <c r="Y85" s="3">
        <f t="shared" si="62"/>
        <v>0.62106547110653887</v>
      </c>
      <c r="Z85" s="3">
        <f t="shared" si="62"/>
        <v>0.64535142318407923</v>
      </c>
      <c r="AA85" s="3">
        <f t="shared" si="62"/>
        <v>0.61260631925930564</v>
      </c>
      <c r="AB85" s="3">
        <f t="shared" si="62"/>
        <v>0.61806383658010122</v>
      </c>
      <c r="AC85" s="3">
        <f t="shared" si="62"/>
        <v>0.66281547861062518</v>
      </c>
      <c r="AD85" s="3">
        <f t="shared" si="62"/>
        <v>0.59023049824404372</v>
      </c>
      <c r="AE85" s="3">
        <f t="shared" si="62"/>
        <v>0.65653933369171025</v>
      </c>
      <c r="AF85" s="3">
        <f t="shared" si="62"/>
        <v>0.70429261024867174</v>
      </c>
      <c r="AG85" s="3">
        <f t="shared" si="62"/>
        <v>0.57849683600433321</v>
      </c>
      <c r="AH85" s="3">
        <f t="shared" si="9"/>
        <v>0.63266269541322961</v>
      </c>
      <c r="AI85" s="3">
        <f t="shared" si="10"/>
        <v>3.5331609251336493E-2</v>
      </c>
      <c r="AK85" s="9">
        <v>42436</v>
      </c>
      <c r="AL85" s="8">
        <f>AL31/36.6467</f>
        <v>0.85246420550827218</v>
      </c>
      <c r="AM85" s="8">
        <f t="shared" ref="AM85:AZ85" si="63">AM31/36.6467</f>
        <v>0.85410146070451087</v>
      </c>
      <c r="AN85" s="8">
        <f t="shared" si="63"/>
        <v>0.87074688853293747</v>
      </c>
      <c r="AO85" s="8">
        <f t="shared" si="63"/>
        <v>0.85792172282906776</v>
      </c>
      <c r="AP85" s="8">
        <f t="shared" si="63"/>
        <v>0.83936616393836283</v>
      </c>
      <c r="AQ85" s="8">
        <f t="shared" si="63"/>
        <v>0.80552955654943004</v>
      </c>
      <c r="AR85" s="8">
        <f t="shared" si="63"/>
        <v>0.80280079788903225</v>
      </c>
      <c r="AS85" s="8">
        <f t="shared" si="63"/>
        <v>0.79952628749655485</v>
      </c>
      <c r="AT85" s="8">
        <f t="shared" si="63"/>
        <v>0.80089066682675381</v>
      </c>
      <c r="AU85" s="8">
        <f t="shared" si="63"/>
        <v>0.77005569396425866</v>
      </c>
      <c r="AV85" s="8">
        <f t="shared" si="63"/>
        <v>0.77387595608881554</v>
      </c>
      <c r="AW85" s="8">
        <f t="shared" si="63"/>
        <v>0.80061779096071395</v>
      </c>
      <c r="AX85" s="8">
        <f t="shared" si="63"/>
        <v>0.81589883945894159</v>
      </c>
      <c r="AY85" s="8">
        <f t="shared" si="63"/>
        <v>0.74767987294899663</v>
      </c>
      <c r="AZ85" s="8">
        <f t="shared" si="63"/>
        <v>0.74713412121691714</v>
      </c>
      <c r="BA85" s="8">
        <f t="shared" si="12"/>
        <v>0.80924066832757113</v>
      </c>
      <c r="BB85" s="8">
        <f t="shared" si="13"/>
        <v>3.9381169905937173E-2</v>
      </c>
    </row>
    <row r="86" spans="1:54">
      <c r="A86" s="2">
        <v>42443</v>
      </c>
      <c r="B86" s="3">
        <v>0.82983156184893536</v>
      </c>
      <c r="C86" s="3">
        <v>0.91811151523711987</v>
      </c>
      <c r="D86" s="3">
        <v>0.9164817314822612</v>
      </c>
      <c r="E86" s="3">
        <v>0.97135111789584039</v>
      </c>
      <c r="F86" s="3">
        <v>0.97433905477974814</v>
      </c>
      <c r="G86" s="3">
        <v>0.95885610910858965</v>
      </c>
      <c r="H86" s="3">
        <v>0.94799088407619769</v>
      </c>
      <c r="I86" s="3">
        <v>0.94500294719228994</v>
      </c>
      <c r="J86" s="3">
        <v>0.9167533621080709</v>
      </c>
      <c r="K86" s="3">
        <v>0.92300086650169622</v>
      </c>
      <c r="L86" s="3">
        <v>0.9460894696955291</v>
      </c>
      <c r="M86" s="3">
        <v>0.87329246197850308</v>
      </c>
      <c r="N86" s="3">
        <v>0.9384838121728547</v>
      </c>
      <c r="O86" s="3">
        <v>0.85210527316533879</v>
      </c>
      <c r="P86" s="3">
        <v>0.87519387635917167</v>
      </c>
      <c r="Q86" s="3">
        <v>0.91912560290680978</v>
      </c>
      <c r="R86" s="3">
        <v>4.3493564372255156E-2</v>
      </c>
      <c r="T86" s="3">
        <f t="shared" ref="T86:AG86" si="64">T32/36.8147</f>
        <v>0.62773837624644502</v>
      </c>
      <c r="U86" s="3">
        <f t="shared" si="64"/>
        <v>0.60274835867194354</v>
      </c>
      <c r="V86" s="3">
        <f t="shared" si="64"/>
        <v>0.60899586306556897</v>
      </c>
      <c r="W86" s="3">
        <f t="shared" si="64"/>
        <v>0.65816100633714247</v>
      </c>
      <c r="X86" s="3">
        <f t="shared" si="64"/>
        <v>0.65571633070485424</v>
      </c>
      <c r="Y86" s="3">
        <f t="shared" si="64"/>
        <v>0.60464977305261214</v>
      </c>
      <c r="Z86" s="3">
        <f t="shared" si="64"/>
        <v>0.61795967371729221</v>
      </c>
      <c r="AA86" s="3">
        <f t="shared" si="64"/>
        <v>0.60546466493004147</v>
      </c>
      <c r="AB86" s="3">
        <f t="shared" si="64"/>
        <v>0.60926749369137867</v>
      </c>
      <c r="AC86" s="3">
        <f t="shared" si="64"/>
        <v>0.58454910674268701</v>
      </c>
      <c r="AD86" s="3">
        <f t="shared" si="64"/>
        <v>0.56825126919409907</v>
      </c>
      <c r="AE86" s="3">
        <f t="shared" si="64"/>
        <v>0.60736607931071007</v>
      </c>
      <c r="AF86" s="3">
        <f t="shared" si="64"/>
        <v>0.6176880430914824</v>
      </c>
      <c r="AG86" s="3">
        <f t="shared" si="64"/>
        <v>0.61089727744623745</v>
      </c>
      <c r="AH86" s="3">
        <f t="shared" si="9"/>
        <v>0.61281809401446385</v>
      </c>
      <c r="AI86" s="3">
        <f t="shared" si="10"/>
        <v>2.3594600363262167E-2</v>
      </c>
      <c r="AK86" s="9">
        <v>42443</v>
      </c>
      <c r="AL86" s="8">
        <f>AL32/36.8147</f>
        <v>0.85183364253952898</v>
      </c>
      <c r="AM86" s="8">
        <f t="shared" ref="AM86:AZ86" si="65">AM32/36.8147</f>
        <v>0.86704495758487776</v>
      </c>
      <c r="AN86" s="8">
        <f t="shared" si="65"/>
        <v>0.84911733628143105</v>
      </c>
      <c r="AO86" s="8">
        <f t="shared" si="65"/>
        <v>0.79071675173232425</v>
      </c>
      <c r="AP86" s="8">
        <f t="shared" si="65"/>
        <v>0.83689395811999001</v>
      </c>
      <c r="AQ86" s="8">
        <f t="shared" si="65"/>
        <v>0.77088771604820894</v>
      </c>
      <c r="AR86" s="8">
        <f t="shared" si="65"/>
        <v>0.79288979673880267</v>
      </c>
      <c r="AS86" s="8">
        <f t="shared" si="65"/>
        <v>0.76925793229335016</v>
      </c>
      <c r="AT86" s="8">
        <f t="shared" si="65"/>
        <v>0.81000252616482005</v>
      </c>
      <c r="AU86" s="8">
        <f t="shared" si="65"/>
        <v>0.76355368915134436</v>
      </c>
      <c r="AV86" s="8">
        <f t="shared" si="65"/>
        <v>0.78501250859031846</v>
      </c>
      <c r="AW86" s="8">
        <f t="shared" si="65"/>
        <v>0.79098838235813407</v>
      </c>
      <c r="AX86" s="8">
        <f t="shared" si="65"/>
        <v>0.79642099487433005</v>
      </c>
      <c r="AY86" s="8">
        <f t="shared" si="65"/>
        <v>0.77360402230630698</v>
      </c>
      <c r="AZ86" s="8">
        <f t="shared" si="65"/>
        <v>0.71194387024748262</v>
      </c>
      <c r="BA86" s="8">
        <f t="shared" si="12"/>
        <v>0.79734453900208335</v>
      </c>
      <c r="BB86" s="8">
        <f t="shared" si="13"/>
        <v>4.0511592926373151E-2</v>
      </c>
    </row>
    <row r="87" spans="1:54">
      <c r="A87" s="2">
        <v>42450</v>
      </c>
      <c r="B87" s="3">
        <v>0.80759970689835647</v>
      </c>
      <c r="C87" s="3">
        <v>0.91044698000628066</v>
      </c>
      <c r="D87" s="3">
        <v>0.88898775253846951</v>
      </c>
      <c r="E87" s="3">
        <v>0.9269339474510625</v>
      </c>
      <c r="F87" s="3">
        <v>0.92719564534701138</v>
      </c>
      <c r="G87" s="3">
        <v>0.89553019993719241</v>
      </c>
      <c r="H87" s="3">
        <v>0.90521302208730248</v>
      </c>
      <c r="I87" s="3">
        <v>0.90678320946299584</v>
      </c>
      <c r="J87" s="3">
        <v>0.80969329006594781</v>
      </c>
      <c r="K87" s="3">
        <v>0.88296870093164448</v>
      </c>
      <c r="L87" s="3">
        <v>0.91175546948602537</v>
      </c>
      <c r="M87" s="3">
        <v>0.88349209672354223</v>
      </c>
      <c r="N87" s="3">
        <v>0.89579189783314128</v>
      </c>
      <c r="O87" s="3">
        <v>0.81649743536061958</v>
      </c>
      <c r="P87" s="3">
        <v>0.83298440280540131</v>
      </c>
      <c r="Q87" s="3">
        <v>0.88012491712899954</v>
      </c>
      <c r="R87" s="3">
        <v>4.203628729223817E-2</v>
      </c>
      <c r="T87" s="3">
        <f t="shared" ref="T87:AG87" si="66">T33/38.212</f>
        <v>0.58332461007013492</v>
      </c>
      <c r="U87" s="3">
        <f t="shared" si="66"/>
        <v>0.60740081649743538</v>
      </c>
      <c r="V87" s="3">
        <f t="shared" si="66"/>
        <v>0.5459018109494399</v>
      </c>
      <c r="W87" s="3">
        <f t="shared" si="66"/>
        <v>0.55689312257929446</v>
      </c>
      <c r="X87" s="3">
        <f t="shared" si="66"/>
        <v>0.64194493876269232</v>
      </c>
      <c r="Y87" s="3">
        <f t="shared" si="66"/>
        <v>0.59326913011619387</v>
      </c>
      <c r="Z87" s="3">
        <f t="shared" si="66"/>
        <v>0.60085836909871237</v>
      </c>
      <c r="AA87" s="3">
        <f t="shared" si="66"/>
        <v>0.63357060609232696</v>
      </c>
      <c r="AB87" s="3">
        <f t="shared" si="66"/>
        <v>0.55715482047524334</v>
      </c>
      <c r="AC87" s="3">
        <f t="shared" si="66"/>
        <v>0.555061237307652</v>
      </c>
      <c r="AD87" s="3">
        <f t="shared" si="66"/>
        <v>0.59510101538783622</v>
      </c>
      <c r="AE87" s="3">
        <f t="shared" si="66"/>
        <v>0.58070763111064583</v>
      </c>
      <c r="AF87" s="3">
        <f t="shared" si="66"/>
        <v>0.61970061760703443</v>
      </c>
      <c r="AG87" s="3">
        <f t="shared" si="66"/>
        <v>0.60923270176907773</v>
      </c>
      <c r="AH87" s="3">
        <f t="shared" si="9"/>
        <v>0.5914372448445514</v>
      </c>
      <c r="AI87" s="3">
        <f t="shared" si="10"/>
        <v>3.0061892750068625E-2</v>
      </c>
      <c r="AK87" s="9">
        <v>42450</v>
      </c>
      <c r="AL87" s="8">
        <f>AL33/38.212</f>
        <v>0.74505390976656538</v>
      </c>
      <c r="AM87" s="8">
        <f t="shared" ref="AM87:AZ87" si="67">AM33/38.212</f>
        <v>0.80210405108342919</v>
      </c>
      <c r="AN87" s="8">
        <f t="shared" si="67"/>
        <v>0.81911441432010879</v>
      </c>
      <c r="AO87" s="8">
        <f t="shared" si="67"/>
        <v>0.77253218884120167</v>
      </c>
      <c r="AP87" s="8">
        <f t="shared" si="67"/>
        <v>0.85208834920967236</v>
      </c>
      <c r="AQ87" s="8">
        <f t="shared" si="67"/>
        <v>0.7434837223908719</v>
      </c>
      <c r="AR87" s="8">
        <f t="shared" si="67"/>
        <v>0.75499842981262433</v>
      </c>
      <c r="AS87" s="8">
        <f t="shared" si="67"/>
        <v>0.75081126347744165</v>
      </c>
      <c r="AT87" s="8">
        <f t="shared" si="67"/>
        <v>0.75368994033287973</v>
      </c>
      <c r="AU87" s="8">
        <f t="shared" si="67"/>
        <v>0.71836072437977594</v>
      </c>
      <c r="AV87" s="8">
        <f t="shared" si="67"/>
        <v>0.71495865173244</v>
      </c>
      <c r="AW87" s="8">
        <f t="shared" si="67"/>
        <v>0.77828954255207772</v>
      </c>
      <c r="AX87" s="8">
        <f t="shared" si="67"/>
        <v>0.75159635716528828</v>
      </c>
      <c r="AY87" s="8">
        <f t="shared" si="67"/>
        <v>0.75028786768554379</v>
      </c>
      <c r="AZ87" s="8">
        <f t="shared" si="67"/>
        <v>0.68617188317805911</v>
      </c>
      <c r="BA87" s="8">
        <f t="shared" si="12"/>
        <v>0.75956941972853187</v>
      </c>
      <c r="BB87" s="8">
        <f t="shared" si="13"/>
        <v>4.1627463166519815E-2</v>
      </c>
    </row>
    <row r="88" spans="1:54">
      <c r="A88" s="2">
        <v>42457</v>
      </c>
      <c r="B88" s="3">
        <v>0.8354871202242542</v>
      </c>
      <c r="C88" s="3">
        <v>0.83184325116408608</v>
      </c>
      <c r="D88" s="3">
        <v>0.79748677145392988</v>
      </c>
      <c r="E88" s="3">
        <v>0.93335103212591142</v>
      </c>
      <c r="F88" s="3">
        <v>0.95807728646276635</v>
      </c>
      <c r="G88" s="3">
        <v>0.92632357036701585</v>
      </c>
      <c r="H88" s="3">
        <v>0.93257020304158955</v>
      </c>
      <c r="I88" s="3">
        <v>0.95573479920980098</v>
      </c>
      <c r="J88" s="3">
        <v>0.81050058952595871</v>
      </c>
      <c r="K88" s="3">
        <v>0.8841587998136422</v>
      </c>
      <c r="L88" s="3">
        <v>0.92163859586108532</v>
      </c>
      <c r="M88" s="3">
        <v>0.92398108311405058</v>
      </c>
      <c r="N88" s="3">
        <v>0.87973410166915234</v>
      </c>
      <c r="O88" s="3">
        <v>0.83861043656154111</v>
      </c>
      <c r="P88" s="3">
        <v>0.83574739658569475</v>
      </c>
      <c r="Q88" s="3">
        <v>0.88434966914536539</v>
      </c>
      <c r="R88" s="3">
        <v>5.5161965148854512E-2</v>
      </c>
      <c r="T88" s="3">
        <f t="shared" ref="T88:AG88" si="68">T34/38.4207</f>
        <v>0.53044322461589721</v>
      </c>
      <c r="U88" s="3">
        <f t="shared" si="68"/>
        <v>0.6358551509993311</v>
      </c>
      <c r="V88" s="3">
        <f t="shared" si="68"/>
        <v>0.52940211917013491</v>
      </c>
      <c r="W88" s="3">
        <f t="shared" si="68"/>
        <v>0.58900540594002715</v>
      </c>
      <c r="X88" s="3">
        <f t="shared" si="68"/>
        <v>0.58926568230146781</v>
      </c>
      <c r="Y88" s="3">
        <f t="shared" si="68"/>
        <v>0.63221128193916298</v>
      </c>
      <c r="Z88" s="3">
        <f t="shared" si="68"/>
        <v>0.60956723849383287</v>
      </c>
      <c r="AA88" s="3">
        <f t="shared" si="68"/>
        <v>0.59681369678324447</v>
      </c>
      <c r="AB88" s="3">
        <f t="shared" si="68"/>
        <v>0.60201922401205599</v>
      </c>
      <c r="AC88" s="3">
        <f t="shared" si="68"/>
        <v>0.62023856931289645</v>
      </c>
      <c r="AD88" s="3">
        <f t="shared" si="68"/>
        <v>0.58640264232562145</v>
      </c>
      <c r="AE88" s="3">
        <f t="shared" si="68"/>
        <v>0.61060834393959518</v>
      </c>
      <c r="AF88" s="3">
        <f t="shared" si="68"/>
        <v>0.59681369678324447</v>
      </c>
      <c r="AG88" s="3">
        <f t="shared" si="68"/>
        <v>0.58926568230146781</v>
      </c>
      <c r="AH88" s="3">
        <f t="shared" si="9"/>
        <v>0.59413656849414143</v>
      </c>
      <c r="AI88" s="3">
        <f t="shared" si="10"/>
        <v>3.1425514035392108E-2</v>
      </c>
      <c r="AK88" s="9">
        <v>42457</v>
      </c>
      <c r="AL88" s="8">
        <f>AL34/38.4207</f>
        <v>0.71445861215438555</v>
      </c>
      <c r="AM88" s="8">
        <f t="shared" ref="AM88:AZ88" si="69">AM34/38.4207</f>
        <v>0.70534893950396538</v>
      </c>
      <c r="AN88" s="8">
        <f t="shared" si="69"/>
        <v>0.79254152058655891</v>
      </c>
      <c r="AO88" s="8">
        <f t="shared" si="69"/>
        <v>0.74491094644293321</v>
      </c>
      <c r="AP88" s="8">
        <f t="shared" si="69"/>
        <v>0.80191146959841964</v>
      </c>
      <c r="AQ88" s="8">
        <f t="shared" si="69"/>
        <v>0.77250024075563439</v>
      </c>
      <c r="AR88" s="8">
        <f t="shared" si="69"/>
        <v>0.74569177552725485</v>
      </c>
      <c r="AS88" s="8">
        <f t="shared" si="69"/>
        <v>0.75297951364759108</v>
      </c>
      <c r="AT88" s="8">
        <f t="shared" si="69"/>
        <v>0.73163685200946371</v>
      </c>
      <c r="AU88" s="8">
        <f t="shared" si="69"/>
        <v>0.71836275757599433</v>
      </c>
      <c r="AV88" s="8">
        <f t="shared" si="69"/>
        <v>0.70925308492557404</v>
      </c>
      <c r="AW88" s="8">
        <f t="shared" si="69"/>
        <v>0.73423961562386952</v>
      </c>
      <c r="AX88" s="8">
        <f t="shared" si="69"/>
        <v>0.73528072106963183</v>
      </c>
      <c r="AY88" s="8">
        <f t="shared" si="69"/>
        <v>0.74621232825013606</v>
      </c>
      <c r="AZ88" s="8">
        <f t="shared" si="69"/>
        <v>0.69129401598617413</v>
      </c>
      <c r="BA88" s="8">
        <f t="shared" si="12"/>
        <v>0.73977482624383906</v>
      </c>
      <c r="BB88" s="8">
        <f t="shared" si="13"/>
        <v>3.1255846690115087E-2</v>
      </c>
    </row>
    <row r="89" spans="1:54">
      <c r="A89" s="2">
        <v>42464</v>
      </c>
      <c r="B89" s="3">
        <v>0.8719928935298491</v>
      </c>
      <c r="C89" s="3">
        <v>0.82641203541839869</v>
      </c>
      <c r="D89" s="3">
        <v>0.765033266256957</v>
      </c>
      <c r="E89" s="3">
        <v>0.91213512652572859</v>
      </c>
      <c r="F89" s="3">
        <v>0.94036418069702465</v>
      </c>
      <c r="G89" s="3">
        <v>0.92896896616916202</v>
      </c>
      <c r="H89" s="3">
        <v>0.9095453050421235</v>
      </c>
      <c r="I89" s="3">
        <v>0.99811719978141911</v>
      </c>
      <c r="J89" s="3">
        <v>0.88597792954131682</v>
      </c>
      <c r="K89" s="3">
        <v>0.765033266256957</v>
      </c>
      <c r="L89" s="3">
        <v>0.92637914468555693</v>
      </c>
      <c r="M89" s="3">
        <v>0.92922794831752265</v>
      </c>
      <c r="N89" s="3">
        <v>0.87432373286509368</v>
      </c>
      <c r="O89" s="3">
        <v>0.85023839306756588</v>
      </c>
      <c r="P89" s="3">
        <v>0.84039707142986653</v>
      </c>
      <c r="Q89" s="3">
        <v>0.88160976397230284</v>
      </c>
      <c r="R89" s="3">
        <v>6.454632245383872E-2</v>
      </c>
      <c r="T89" s="3">
        <f t="shared" ref="T89:AG89" si="70">T35/38.6127</f>
        <v>0.59876672700950728</v>
      </c>
      <c r="U89" s="3">
        <f t="shared" si="70"/>
        <v>0.55888347616198819</v>
      </c>
      <c r="V89" s="3">
        <f t="shared" si="70"/>
        <v>0.5511140117111728</v>
      </c>
      <c r="W89" s="3">
        <f t="shared" si="70"/>
        <v>0.57468138721197959</v>
      </c>
      <c r="X89" s="3">
        <f t="shared" si="70"/>
        <v>0.61585954880130123</v>
      </c>
      <c r="Y89" s="3">
        <f t="shared" si="70"/>
        <v>0.65988651402258847</v>
      </c>
      <c r="Z89" s="3">
        <f t="shared" si="70"/>
        <v>0.57338647647017693</v>
      </c>
      <c r="AA89" s="3">
        <f t="shared" si="70"/>
        <v>0.65056315668161002</v>
      </c>
      <c r="AB89" s="3">
        <f t="shared" si="70"/>
        <v>0.60032061989967034</v>
      </c>
      <c r="AC89" s="3">
        <f t="shared" si="70"/>
        <v>0.57727120869558468</v>
      </c>
      <c r="AD89" s="3">
        <f t="shared" si="70"/>
        <v>0.63657812067014219</v>
      </c>
      <c r="AE89" s="3">
        <f t="shared" si="70"/>
        <v>0.60575924501524114</v>
      </c>
      <c r="AF89" s="3">
        <f t="shared" si="70"/>
        <v>0.76632817699875955</v>
      </c>
      <c r="AG89" s="3">
        <f t="shared" si="70"/>
        <v>0.5912562447070524</v>
      </c>
      <c r="AH89" s="3">
        <f t="shared" si="9"/>
        <v>0.61147535100405537</v>
      </c>
      <c r="AI89" s="3">
        <f t="shared" si="10"/>
        <v>5.5200032437787684E-2</v>
      </c>
      <c r="AK89" s="9">
        <v>42464</v>
      </c>
      <c r="AL89" s="8">
        <f>AL35/38.6127</f>
        <v>0.74172487290451072</v>
      </c>
      <c r="AM89" s="8">
        <f t="shared" ref="AM89:AZ89" si="71">AM35/38.6127</f>
        <v>0.78238507019711145</v>
      </c>
      <c r="AN89" s="8">
        <f t="shared" si="71"/>
        <v>0.85023839306756588</v>
      </c>
      <c r="AO89" s="8">
        <f t="shared" si="71"/>
        <v>0.73913505142090563</v>
      </c>
      <c r="AP89" s="8">
        <f t="shared" si="71"/>
        <v>0.7489763730586052</v>
      </c>
      <c r="AQ89" s="8">
        <f t="shared" si="71"/>
        <v>0.77383865930121443</v>
      </c>
      <c r="AR89" s="8">
        <f t="shared" si="71"/>
        <v>0.73732217638238196</v>
      </c>
      <c r="AS89" s="8">
        <f t="shared" si="71"/>
        <v>0.74819942661352357</v>
      </c>
      <c r="AT89" s="8">
        <f t="shared" si="71"/>
        <v>0.74949433735532622</v>
      </c>
      <c r="AU89" s="8">
        <f t="shared" si="71"/>
        <v>0.71038803295288866</v>
      </c>
      <c r="AV89" s="8">
        <f t="shared" si="71"/>
        <v>0.69225928256765268</v>
      </c>
      <c r="AW89" s="8">
        <f t="shared" si="71"/>
        <v>0.7357682834922189</v>
      </c>
      <c r="AX89" s="8">
        <f t="shared" si="71"/>
        <v>0.74431469438811582</v>
      </c>
      <c r="AY89" s="8">
        <f t="shared" si="71"/>
        <v>0.74664553372336051</v>
      </c>
      <c r="AZ89" s="8">
        <f t="shared" si="71"/>
        <v>0.68345388952339525</v>
      </c>
      <c r="BA89" s="8">
        <f t="shared" si="12"/>
        <v>0.74560960512991836</v>
      </c>
      <c r="BB89" s="8">
        <f t="shared" si="13"/>
        <v>3.901013980571115E-2</v>
      </c>
    </row>
    <row r="90" spans="1:54">
      <c r="A90" s="2">
        <v>42471</v>
      </c>
      <c r="B90" s="3">
        <v>0.85054080629301865</v>
      </c>
      <c r="C90" s="3">
        <v>0.87046524866739117</v>
      </c>
      <c r="D90" s="3">
        <v>0.76101019510427981</v>
      </c>
      <c r="E90" s="3">
        <v>0.91497179526988559</v>
      </c>
      <c r="F90" s="3">
        <v>0.87822801842364018</v>
      </c>
      <c r="G90" s="3">
        <v>0.89090720902551357</v>
      </c>
      <c r="H90" s="3">
        <v>0.91704186720488534</v>
      </c>
      <c r="I90" s="3">
        <v>1.0148527661336231</v>
      </c>
      <c r="J90" s="3">
        <v>0.89582362987113795</v>
      </c>
      <c r="K90" s="3">
        <v>0.76437406199865443</v>
      </c>
      <c r="L90" s="3">
        <v>0.8611499249598924</v>
      </c>
      <c r="M90" s="3">
        <v>0.91057289240801109</v>
      </c>
      <c r="N90" s="3">
        <v>0.93411996066863323</v>
      </c>
      <c r="O90" s="3">
        <v>0.83087512291052112</v>
      </c>
      <c r="P90" s="3">
        <v>0.89582362987113795</v>
      </c>
      <c r="Q90" s="3">
        <v>0.87938380858734855</v>
      </c>
      <c r="R90" s="3">
        <v>6.3536557954670683E-2</v>
      </c>
      <c r="T90" s="3">
        <f t="shared" ref="T90:AG90" si="72">T36/38.646</f>
        <v>0.61274129275992339</v>
      </c>
      <c r="U90" s="3">
        <f t="shared" si="72"/>
        <v>0.58298400869430211</v>
      </c>
      <c r="V90" s="3">
        <f t="shared" si="72"/>
        <v>0.58194897272680224</v>
      </c>
      <c r="W90" s="3">
        <f t="shared" si="72"/>
        <v>0.60264969207679964</v>
      </c>
      <c r="X90" s="3">
        <f t="shared" si="72"/>
        <v>0.58867670651555137</v>
      </c>
      <c r="Y90" s="3">
        <f t="shared" si="72"/>
        <v>0.60109713812554988</v>
      </c>
      <c r="Z90" s="3">
        <f t="shared" si="72"/>
        <v>0.61300005175179839</v>
      </c>
      <c r="AA90" s="3">
        <f t="shared" si="72"/>
        <v>0.57444496196242811</v>
      </c>
      <c r="AB90" s="3">
        <f t="shared" si="72"/>
        <v>0.60653107695492425</v>
      </c>
      <c r="AC90" s="3">
        <f t="shared" si="72"/>
        <v>0.60937742586554888</v>
      </c>
      <c r="AD90" s="3">
        <f t="shared" si="72"/>
        <v>0.57677379288930286</v>
      </c>
      <c r="AE90" s="3">
        <f t="shared" si="72"/>
        <v>0.58557159861305175</v>
      </c>
      <c r="AF90" s="3">
        <f t="shared" si="72"/>
        <v>0.61092997981679864</v>
      </c>
      <c r="AG90" s="3">
        <f t="shared" si="72"/>
        <v>0.60782487191429901</v>
      </c>
      <c r="AH90" s="3">
        <f t="shared" si="9"/>
        <v>0.59675368361907732</v>
      </c>
      <c r="AI90" s="3">
        <f t="shared" si="10"/>
        <v>1.4271021205195888E-2</v>
      </c>
      <c r="AK90" s="9">
        <v>42471</v>
      </c>
      <c r="AL90" s="8">
        <f>AL36/38.646</f>
        <v>0.75971640014490505</v>
      </c>
      <c r="AM90" s="8">
        <f t="shared" ref="AM90:AZ90" si="73">AM36/38.646</f>
        <v>0.79542514102365047</v>
      </c>
      <c r="AN90" s="8">
        <f t="shared" si="73"/>
        <v>0.81767841432489785</v>
      </c>
      <c r="AO90" s="8">
        <f t="shared" si="73"/>
        <v>0.74160327071365728</v>
      </c>
      <c r="AP90" s="8">
        <f t="shared" si="73"/>
        <v>0.74936604046990629</v>
      </c>
      <c r="AQ90" s="8">
        <f t="shared" si="73"/>
        <v>0.75298866635615591</v>
      </c>
      <c r="AR90" s="8">
        <f t="shared" si="73"/>
        <v>0.73177042902240852</v>
      </c>
      <c r="AS90" s="8">
        <f t="shared" si="73"/>
        <v>0.74315582466490704</v>
      </c>
      <c r="AT90" s="8">
        <f t="shared" si="73"/>
        <v>0.70925839672928637</v>
      </c>
      <c r="AU90" s="8">
        <f t="shared" si="73"/>
        <v>0.71391605858303575</v>
      </c>
      <c r="AV90" s="8">
        <f t="shared" si="73"/>
        <v>0.68364125653366459</v>
      </c>
      <c r="AW90" s="8">
        <f t="shared" si="73"/>
        <v>0.74341458365678204</v>
      </c>
      <c r="AX90" s="8">
        <f t="shared" si="73"/>
        <v>0.74237954768928227</v>
      </c>
      <c r="AY90" s="8">
        <f t="shared" si="73"/>
        <v>0.73953319877865753</v>
      </c>
      <c r="AZ90" s="8">
        <f t="shared" si="73"/>
        <v>0.69606168814366298</v>
      </c>
      <c r="BA90" s="8">
        <f t="shared" si="12"/>
        <v>0.74132726112232394</v>
      </c>
      <c r="BB90" s="8">
        <f t="shared" si="13"/>
        <v>3.4387205929554902E-2</v>
      </c>
    </row>
    <row r="91" spans="1:54">
      <c r="A91" s="2">
        <v>42478</v>
      </c>
      <c r="B91" s="3">
        <v>0.8156838844024582</v>
      </c>
      <c r="C91" s="3">
        <v>0.86241048301081824</v>
      </c>
      <c r="D91" s="3">
        <v>0.77048097922697956</v>
      </c>
      <c r="E91" s="3">
        <v>0.90837523490273764</v>
      </c>
      <c r="F91" s="3">
        <v>0.87155264360810603</v>
      </c>
      <c r="G91" s="3">
        <v>0.88475798669307748</v>
      </c>
      <c r="H91" s="3">
        <v>0.89466199400680579</v>
      </c>
      <c r="I91" s="3">
        <v>0.99319416933313021</v>
      </c>
      <c r="J91" s="3">
        <v>0.88729747574787943</v>
      </c>
      <c r="K91" s="3">
        <v>0.74686373101731929</v>
      </c>
      <c r="L91" s="3">
        <v>0.85682360709025351</v>
      </c>
      <c r="M91" s="3">
        <v>0.89466199400680579</v>
      </c>
      <c r="N91" s="3">
        <v>0.92818324953019449</v>
      </c>
      <c r="O91" s="3">
        <v>0.82406419828330546</v>
      </c>
      <c r="P91" s="3">
        <v>0.92310427142059026</v>
      </c>
      <c r="Q91" s="3">
        <v>0.87080772681869745</v>
      </c>
      <c r="R91" s="3">
        <v>6.2643550520018215E-2</v>
      </c>
      <c r="T91" s="3">
        <f t="shared" ref="T91:AF91" si="74">T37/39.378</f>
        <v>0.59398648991822844</v>
      </c>
      <c r="U91" s="3">
        <f t="shared" si="74"/>
        <v>0.68058306668698254</v>
      </c>
      <c r="V91" s="3">
        <f t="shared" si="74"/>
        <v>0.61481030016760629</v>
      </c>
      <c r="W91" s="3">
        <f t="shared" si="74"/>
        <v>0.62826959215805778</v>
      </c>
      <c r="X91" s="3">
        <f t="shared" si="74"/>
        <v>0.63131697902382045</v>
      </c>
      <c r="Y91" s="3">
        <f t="shared" si="74"/>
        <v>0.65899740972116405</v>
      </c>
      <c r="Z91" s="3">
        <f t="shared" si="74"/>
        <v>0.56046523439483975</v>
      </c>
      <c r="AA91" s="3">
        <f t="shared" si="74"/>
        <v>0.65087104474579716</v>
      </c>
      <c r="AB91" s="3">
        <f t="shared" si="74"/>
        <v>0.60008126364975367</v>
      </c>
      <c r="AC91" s="3">
        <f t="shared" si="74"/>
        <v>0.57874955558941543</v>
      </c>
      <c r="AD91" s="3">
        <f t="shared" si="74"/>
        <v>0.60033521255523392</v>
      </c>
      <c r="AE91" s="3">
        <f t="shared" si="74"/>
        <v>0.59906546802783278</v>
      </c>
      <c r="AF91" s="3">
        <f t="shared" si="74"/>
        <v>0.62115902280461177</v>
      </c>
      <c r="AG91" s="3">
        <f>AG37/39.378</f>
        <v>0.60160495708263495</v>
      </c>
      <c r="AH91" s="3">
        <f t="shared" si="9"/>
        <v>0.61573539975185565</v>
      </c>
      <c r="AI91" s="3">
        <f t="shared" si="10"/>
        <v>3.2340770593139077E-2</v>
      </c>
      <c r="AK91" s="9">
        <v>42478</v>
      </c>
      <c r="AL91" s="8">
        <f>AL37/39.378</f>
        <v>0.7501650667885621</v>
      </c>
      <c r="AM91" s="8">
        <f t="shared" ref="AM91:AZ91" si="75">AM37/39.378</f>
        <v>0.78267052669003001</v>
      </c>
      <c r="AN91" s="8">
        <f t="shared" si="75"/>
        <v>0.78165473106810912</v>
      </c>
      <c r="AO91" s="8">
        <f t="shared" si="75"/>
        <v>0.73162679668850628</v>
      </c>
      <c r="AP91" s="8">
        <f t="shared" si="75"/>
        <v>0.70673980395144498</v>
      </c>
      <c r="AQ91" s="8">
        <f t="shared" si="75"/>
        <v>0.77657575295850467</v>
      </c>
      <c r="AR91" s="8">
        <f t="shared" si="75"/>
        <v>0.69810554116511758</v>
      </c>
      <c r="AS91" s="8">
        <f t="shared" si="75"/>
        <v>0.73213469449946667</v>
      </c>
      <c r="AT91" s="8">
        <f t="shared" si="75"/>
        <v>0.69886738788155822</v>
      </c>
      <c r="AU91" s="8">
        <f t="shared" si="75"/>
        <v>0.70394636599116256</v>
      </c>
      <c r="AV91" s="8">
        <f t="shared" si="75"/>
        <v>0.6798212199705419</v>
      </c>
      <c r="AW91" s="8">
        <f t="shared" si="75"/>
        <v>0.7214688404692976</v>
      </c>
      <c r="AX91" s="8">
        <f t="shared" si="75"/>
        <v>0.73086494997206564</v>
      </c>
      <c r="AY91" s="8">
        <f t="shared" si="75"/>
        <v>0.73188074559398653</v>
      </c>
      <c r="AZ91" s="8">
        <f t="shared" si="75"/>
        <v>0.68134491340342318</v>
      </c>
      <c r="BA91" s="8">
        <f t="shared" si="12"/>
        <v>0.72719115580611837</v>
      </c>
      <c r="BB91" s="8">
        <f t="shared" si="13"/>
        <v>3.3886157790850496E-2</v>
      </c>
    </row>
    <row r="92" spans="1:54">
      <c r="A92" s="2">
        <v>42485</v>
      </c>
      <c r="B92" s="3">
        <v>0.81848917596003423</v>
      </c>
      <c r="C92" s="3">
        <v>0.83564616238583023</v>
      </c>
      <c r="D92" s="3">
        <v>0.79149215320179644</v>
      </c>
      <c r="E92" s="3">
        <v>0.89493868900439011</v>
      </c>
      <c r="F92" s="3">
        <v>1.0051975576525207</v>
      </c>
      <c r="G92" s="3">
        <v>0.89140636826966746</v>
      </c>
      <c r="H92" s="3">
        <v>0.94994196901650096</v>
      </c>
      <c r="I92" s="3">
        <v>0.91663723066054392</v>
      </c>
      <c r="J92" s="3">
        <v>0.88661250441540096</v>
      </c>
      <c r="K92" s="3">
        <v>0.7655043649391936</v>
      </c>
      <c r="L92" s="3">
        <v>0.88106171468940808</v>
      </c>
      <c r="M92" s="3">
        <v>0.87450169046778015</v>
      </c>
      <c r="N92" s="3">
        <v>0.81016299137104508</v>
      </c>
      <c r="O92" s="3">
        <v>0.87349245597214509</v>
      </c>
      <c r="P92" s="3">
        <v>0.87424938184387135</v>
      </c>
      <c r="Q92" s="3">
        <v>0.87128896065667527</v>
      </c>
      <c r="R92" s="3">
        <v>6.14381651182343E-2</v>
      </c>
      <c r="T92" s="3">
        <f t="shared" ref="T92:AG92" si="76">T38/39.634</f>
        <v>0.59090679719432815</v>
      </c>
      <c r="U92" s="3">
        <f t="shared" si="76"/>
        <v>0.63707927536963216</v>
      </c>
      <c r="V92" s="3">
        <f t="shared" si="76"/>
        <v>0.55911591058182364</v>
      </c>
      <c r="W92" s="3">
        <f t="shared" si="76"/>
        <v>0.65877781702578597</v>
      </c>
      <c r="X92" s="3">
        <f t="shared" si="76"/>
        <v>0.6138668819700257</v>
      </c>
      <c r="Y92" s="3">
        <f t="shared" si="76"/>
        <v>0.64919008931725286</v>
      </c>
      <c r="Z92" s="3">
        <f t="shared" si="76"/>
        <v>0.62976232527627796</v>
      </c>
      <c r="AA92" s="3">
        <f t="shared" si="76"/>
        <v>0.68703638290356761</v>
      </c>
      <c r="AB92" s="3">
        <f t="shared" si="76"/>
        <v>0.61462380784175197</v>
      </c>
      <c r="AC92" s="3">
        <f t="shared" si="76"/>
        <v>0.5699651814099006</v>
      </c>
      <c r="AD92" s="3">
        <f t="shared" si="76"/>
        <v>0.55810667608618869</v>
      </c>
      <c r="AE92" s="3">
        <f t="shared" si="76"/>
        <v>0.57046979865771807</v>
      </c>
      <c r="AF92" s="3">
        <f t="shared" si="76"/>
        <v>0.66130090326487356</v>
      </c>
      <c r="AG92" s="3">
        <f t="shared" si="76"/>
        <v>0.66710400161477523</v>
      </c>
      <c r="AH92" s="3">
        <f t="shared" si="9"/>
        <v>0.61909327489385013</v>
      </c>
      <c r="AI92" s="3">
        <f t="shared" si="10"/>
        <v>4.346264177363296E-2</v>
      </c>
      <c r="AK92" s="9">
        <v>42485</v>
      </c>
      <c r="AL92" s="8">
        <f>AL38/39.634</f>
        <v>0.7094918504314478</v>
      </c>
      <c r="AM92" s="8">
        <f t="shared" ref="AM92:AZ92" si="77">AM38/39.634</f>
        <v>0.77231669778473022</v>
      </c>
      <c r="AN92" s="8">
        <f t="shared" si="77"/>
        <v>0.76373820457183228</v>
      </c>
      <c r="AO92" s="8">
        <f t="shared" si="77"/>
        <v>0.69839027097946205</v>
      </c>
      <c r="AP92" s="8">
        <f t="shared" si="77"/>
        <v>0.69839027097946205</v>
      </c>
      <c r="AQ92" s="8">
        <f t="shared" si="77"/>
        <v>0.75087046475248531</v>
      </c>
      <c r="AR92" s="8">
        <f t="shared" si="77"/>
        <v>0.6872886915274764</v>
      </c>
      <c r="AS92" s="8">
        <f t="shared" si="77"/>
        <v>0.726396528233335</v>
      </c>
      <c r="AT92" s="8">
        <f t="shared" si="77"/>
        <v>0.68527022253620629</v>
      </c>
      <c r="AU92" s="8">
        <f t="shared" si="77"/>
        <v>0.68400867941666244</v>
      </c>
      <c r="AV92" s="8">
        <f t="shared" si="77"/>
        <v>0.66887016198213656</v>
      </c>
      <c r="AW92" s="8">
        <f t="shared" si="77"/>
        <v>0.7311903920876015</v>
      </c>
      <c r="AX92" s="8">
        <f t="shared" si="77"/>
        <v>0.71554725740525804</v>
      </c>
      <c r="AY92" s="8">
        <f t="shared" si="77"/>
        <v>0.6996518140990059</v>
      </c>
      <c r="AZ92" s="8">
        <f t="shared" si="77"/>
        <v>0.6701317051016803</v>
      </c>
      <c r="BA92" s="8">
        <f t="shared" si="12"/>
        <v>0.71077021412591879</v>
      </c>
      <c r="BB92" s="8">
        <f t="shared" si="13"/>
        <v>3.2340030792798492E-2</v>
      </c>
    </row>
    <row r="93" spans="1:54">
      <c r="A93" s="2">
        <v>42492</v>
      </c>
      <c r="B93" s="3">
        <v>0.82383515215189673</v>
      </c>
      <c r="C93" s="3">
        <v>0.85237389286102139</v>
      </c>
      <c r="D93" s="3">
        <v>0.78797230984485522</v>
      </c>
      <c r="E93" s="3">
        <v>0.89758127858609471</v>
      </c>
      <c r="F93" s="3">
        <v>0.98547049776109796</v>
      </c>
      <c r="G93" s="3">
        <v>0.90440026972898302</v>
      </c>
      <c r="H93" s="3">
        <v>0.95516387045937268</v>
      </c>
      <c r="I93" s="3">
        <v>0.92839301634284865</v>
      </c>
      <c r="J93" s="3">
        <v>0.89606594722100841</v>
      </c>
      <c r="K93" s="3">
        <v>0.79226574871259969</v>
      </c>
      <c r="L93" s="3">
        <v>0.89455061585592233</v>
      </c>
      <c r="M93" s="3">
        <v>0.8723257558346571</v>
      </c>
      <c r="N93" s="3">
        <v>0.8349475821625294</v>
      </c>
      <c r="O93" s="3">
        <v>0.9180382520147593</v>
      </c>
      <c r="P93" s="3">
        <v>0.88672140380297659</v>
      </c>
      <c r="Q93" s="3">
        <v>0.88200703955604154</v>
      </c>
      <c r="R93" s="3">
        <v>5.6121163967906305E-2</v>
      </c>
      <c r="T93" s="3">
        <f t="shared" ref="T93:AG93" si="78">T39/39.5953</f>
        <v>0.6025967728493028</v>
      </c>
      <c r="U93" s="3">
        <f t="shared" si="78"/>
        <v>0.57304781123012072</v>
      </c>
      <c r="V93" s="3">
        <f t="shared" si="78"/>
        <v>0.62280119105045295</v>
      </c>
      <c r="W93" s="3">
        <f t="shared" si="78"/>
        <v>0.61269898194987793</v>
      </c>
      <c r="X93" s="3">
        <f t="shared" si="78"/>
        <v>0.56799670667983315</v>
      </c>
      <c r="Y93" s="3">
        <f t="shared" si="78"/>
        <v>0.60158655193924526</v>
      </c>
      <c r="Z93" s="3">
        <f t="shared" si="78"/>
        <v>0.58668579351589711</v>
      </c>
      <c r="AA93" s="3">
        <f t="shared" si="78"/>
        <v>0.63012529264836981</v>
      </c>
      <c r="AB93" s="3">
        <f t="shared" si="78"/>
        <v>0.67406990223587149</v>
      </c>
      <c r="AC93" s="3">
        <f t="shared" si="78"/>
        <v>0.59299967420375654</v>
      </c>
      <c r="AD93" s="3">
        <f t="shared" si="78"/>
        <v>0.65007715562200552</v>
      </c>
      <c r="AE93" s="3">
        <f t="shared" si="78"/>
        <v>0.59426245034132841</v>
      </c>
      <c r="AF93" s="3">
        <f t="shared" si="78"/>
        <v>0.59224200852121334</v>
      </c>
      <c r="AG93" s="3">
        <f t="shared" si="78"/>
        <v>0.64477349584420374</v>
      </c>
      <c r="AH93" s="3">
        <f t="shared" si="9"/>
        <v>0.61042598490224853</v>
      </c>
      <c r="AI93" s="3">
        <f t="shared" si="10"/>
        <v>3.0565042276273394E-2</v>
      </c>
      <c r="AK93" s="9">
        <v>42492</v>
      </c>
      <c r="AL93" s="8">
        <f>AL39/39.5953</f>
        <v>0.67760567542107264</v>
      </c>
      <c r="AM93" s="8">
        <f t="shared" ref="AM93:AZ93" si="79">AM39/39.5953</f>
        <v>0.72028750887100235</v>
      </c>
      <c r="AN93" s="8">
        <f t="shared" si="79"/>
        <v>0.77812265597179453</v>
      </c>
      <c r="AO93" s="8">
        <f t="shared" si="79"/>
        <v>0.70033564589736663</v>
      </c>
      <c r="AP93" s="8">
        <f t="shared" si="79"/>
        <v>0.70286119817251025</v>
      </c>
      <c r="AQ93" s="8">
        <f t="shared" si="79"/>
        <v>0.73922915093458053</v>
      </c>
      <c r="AR93" s="8">
        <f t="shared" si="79"/>
        <v>0.69427432043702153</v>
      </c>
      <c r="AS93" s="8">
        <f t="shared" si="79"/>
        <v>0.69503198611956463</v>
      </c>
      <c r="AT93" s="8">
        <f t="shared" si="79"/>
        <v>0.70286119817251025</v>
      </c>
      <c r="AU93" s="8">
        <f t="shared" si="79"/>
        <v>0.70437652953759666</v>
      </c>
      <c r="AV93" s="8">
        <f t="shared" si="79"/>
        <v>0.66725091109298329</v>
      </c>
      <c r="AW93" s="8">
        <f t="shared" si="79"/>
        <v>0.69882031453228033</v>
      </c>
      <c r="AX93" s="8">
        <f t="shared" si="79"/>
        <v>0.72281306114614607</v>
      </c>
      <c r="AY93" s="8">
        <f t="shared" si="79"/>
        <v>0.68998088156927717</v>
      </c>
      <c r="AZ93" s="8">
        <f t="shared" si="79"/>
        <v>0.63416617628859984</v>
      </c>
      <c r="BA93" s="8">
        <f t="shared" si="12"/>
        <v>0.70186781427762057</v>
      </c>
      <c r="BB93" s="8">
        <f t="shared" si="13"/>
        <v>3.2320651251871127E-2</v>
      </c>
    </row>
    <row r="94" spans="1:54">
      <c r="A94" s="2">
        <v>42499</v>
      </c>
      <c r="B94" s="3">
        <v>0.7437753060573884</v>
      </c>
      <c r="C94" s="3">
        <v>0.75155695792636557</v>
      </c>
      <c r="D94" s="3">
        <v>0.73348344390809617</v>
      </c>
      <c r="E94" s="3">
        <v>0.92551453035220754</v>
      </c>
      <c r="F94" s="3">
        <v>0.89991038549299285</v>
      </c>
      <c r="G94" s="3">
        <v>0.92601657240827073</v>
      </c>
      <c r="H94" s="3">
        <v>0.91572471025897839</v>
      </c>
      <c r="I94" s="3">
        <v>0.91522266820291542</v>
      </c>
      <c r="J94" s="3">
        <v>0.88660627100732237</v>
      </c>
      <c r="K94" s="3">
        <v>0.79874891119629099</v>
      </c>
      <c r="L94" s="3">
        <v>0.94760438081898124</v>
      </c>
      <c r="M94" s="3">
        <v>0.89940834343692966</v>
      </c>
      <c r="N94" s="3">
        <v>0.89463894390433085</v>
      </c>
      <c r="O94" s="3">
        <v>0.92476146726811315</v>
      </c>
      <c r="P94" s="3">
        <v>0.8976511962407091</v>
      </c>
      <c r="Q94" s="3">
        <v>0.87070827256532612</v>
      </c>
      <c r="R94" s="3">
        <v>7.3897188894945703E-2</v>
      </c>
      <c r="T94" s="3">
        <f t="shared" ref="T94:AG94" si="80">T40/39.8373</f>
        <v>0.56856262849138872</v>
      </c>
      <c r="U94" s="3">
        <f t="shared" si="80"/>
        <v>0.53291764251091311</v>
      </c>
      <c r="V94" s="3">
        <f t="shared" si="80"/>
        <v>0.5898994158740678</v>
      </c>
      <c r="W94" s="3">
        <f t="shared" si="80"/>
        <v>0.55048911447311943</v>
      </c>
      <c r="X94" s="3">
        <f t="shared" si="80"/>
        <v>0.5233788434457155</v>
      </c>
      <c r="Y94" s="3">
        <f t="shared" si="80"/>
        <v>0.56680548129516806</v>
      </c>
      <c r="Z94" s="3">
        <f t="shared" si="80"/>
        <v>0.54120133643595325</v>
      </c>
      <c r="AA94" s="3">
        <f t="shared" si="80"/>
        <v>0.5630401658746953</v>
      </c>
      <c r="AB94" s="3">
        <f t="shared" si="80"/>
        <v>0.58688716353768955</v>
      </c>
      <c r="AC94" s="3">
        <f t="shared" si="80"/>
        <v>0.54396256774429996</v>
      </c>
      <c r="AD94" s="3">
        <f t="shared" si="80"/>
        <v>0.53919316821170116</v>
      </c>
      <c r="AE94" s="3">
        <f t="shared" si="80"/>
        <v>0.56630343923910509</v>
      </c>
      <c r="AF94" s="3">
        <f t="shared" si="80"/>
        <v>0.53015641120256651</v>
      </c>
      <c r="AG94" s="3">
        <f t="shared" si="80"/>
        <v>0.58964839484603626</v>
      </c>
      <c r="AH94" s="3">
        <f t="shared" si="9"/>
        <v>0.55660326951303007</v>
      </c>
      <c r="AI94" s="3">
        <f t="shared" si="10"/>
        <v>2.2535741457215149E-2</v>
      </c>
      <c r="AK94" s="9">
        <v>42499</v>
      </c>
      <c r="AL94" s="8">
        <f>AL40/39.8373</f>
        <v>0.67399146026462642</v>
      </c>
      <c r="AM94" s="8">
        <f t="shared" ref="AM94:AZ94" si="81">AM40/39.8373</f>
        <v>0.6860404696101392</v>
      </c>
      <c r="AN94" s="8">
        <f t="shared" si="81"/>
        <v>0.7766590607295174</v>
      </c>
      <c r="AO94" s="8">
        <f t="shared" si="81"/>
        <v>0.70637317288069223</v>
      </c>
      <c r="AP94" s="8">
        <f t="shared" si="81"/>
        <v>0.72118341353455184</v>
      </c>
      <c r="AQ94" s="8">
        <f t="shared" si="81"/>
        <v>0.7397589696088841</v>
      </c>
      <c r="AR94" s="8">
        <f t="shared" si="81"/>
        <v>0.66169142989108198</v>
      </c>
      <c r="AS94" s="8">
        <f t="shared" si="81"/>
        <v>0.68428332241391865</v>
      </c>
      <c r="AT94" s="8">
        <f t="shared" si="81"/>
        <v>0.69909356306777826</v>
      </c>
      <c r="AU94" s="8">
        <f t="shared" si="81"/>
        <v>0.68102004904950886</v>
      </c>
      <c r="AV94" s="8">
        <f t="shared" si="81"/>
        <v>0.67700371260100456</v>
      </c>
      <c r="AW94" s="8">
        <f t="shared" si="81"/>
        <v>0.69131191119880109</v>
      </c>
      <c r="AX94" s="8">
        <f t="shared" si="81"/>
        <v>0.71415482474966929</v>
      </c>
      <c r="AY94" s="8">
        <f t="shared" si="81"/>
        <v>0.69332007942305329</v>
      </c>
      <c r="AZ94" s="8">
        <f t="shared" si="81"/>
        <v>0.63433013783564651</v>
      </c>
      <c r="BA94" s="8">
        <f t="shared" si="12"/>
        <v>0.69601437179059167</v>
      </c>
      <c r="BB94" s="8">
        <f t="shared" si="13"/>
        <v>3.361251863616381E-2</v>
      </c>
    </row>
    <row r="95" spans="1:54">
      <c r="A95" s="2">
        <v>42506</v>
      </c>
      <c r="B95" s="3">
        <v>0.72740254814021466</v>
      </c>
      <c r="C95" s="3">
        <v>0.62327539400971366</v>
      </c>
      <c r="D95" s="3">
        <v>0.8139272547867501</v>
      </c>
      <c r="E95" s="3">
        <v>0.90838545889084754</v>
      </c>
      <c r="F95" s="3">
        <v>0.83029009329297176</v>
      </c>
      <c r="G95" s="3">
        <v>0.9787952488267101</v>
      </c>
      <c r="H95" s="3">
        <v>0.9302025768991431</v>
      </c>
      <c r="I95" s="3">
        <v>0.97408473471128276</v>
      </c>
      <c r="J95" s="3">
        <v>0.85731356900779221</v>
      </c>
      <c r="K95" s="3">
        <v>0.79880402525827254</v>
      </c>
      <c r="L95" s="3">
        <v>0.8773952344472461</v>
      </c>
      <c r="M95" s="3">
        <v>0.92697959355700843</v>
      </c>
      <c r="N95" s="3">
        <v>0.94755710258755987</v>
      </c>
      <c r="O95" s="3">
        <v>0.91582311275731187</v>
      </c>
      <c r="P95" s="3">
        <v>0.89822066527334621</v>
      </c>
      <c r="Q95" s="3">
        <v>0.86723044082974476</v>
      </c>
      <c r="R95" s="3">
        <v>9.6740932627666143E-2</v>
      </c>
      <c r="T95" s="3">
        <f t="shared" ref="T95:AG95" si="82">T41/40.3353</f>
        <v>0.56377416307799866</v>
      </c>
      <c r="U95" s="3">
        <f t="shared" si="82"/>
        <v>0.54443626302519144</v>
      </c>
      <c r="V95" s="3">
        <f t="shared" si="82"/>
        <v>0.57294726951330477</v>
      </c>
      <c r="W95" s="3">
        <f t="shared" si="82"/>
        <v>0.52782550272342099</v>
      </c>
      <c r="X95" s="3">
        <f t="shared" si="82"/>
        <v>0.51245435139939466</v>
      </c>
      <c r="Y95" s="3">
        <f t="shared" si="82"/>
        <v>0.58236829774415955</v>
      </c>
      <c r="Z95" s="3">
        <f t="shared" si="82"/>
        <v>0.5303047206789091</v>
      </c>
      <c r="AA95" s="3">
        <f t="shared" si="82"/>
        <v>0.53327978222549488</v>
      </c>
      <c r="AB95" s="3">
        <f t="shared" si="82"/>
        <v>0.56253455410025466</v>
      </c>
      <c r="AC95" s="3">
        <f t="shared" si="82"/>
        <v>0.53278393863439721</v>
      </c>
      <c r="AD95" s="3">
        <f t="shared" si="82"/>
        <v>0.52757758092787221</v>
      </c>
      <c r="AE95" s="3">
        <f t="shared" si="82"/>
        <v>0.56600545923793799</v>
      </c>
      <c r="AF95" s="3">
        <f t="shared" si="82"/>
        <v>0.52881718990561621</v>
      </c>
      <c r="AG95" s="3">
        <f t="shared" si="82"/>
        <v>0.56005533614476655</v>
      </c>
      <c r="AH95" s="3">
        <f t="shared" si="9"/>
        <v>0.54608317209562285</v>
      </c>
      <c r="AI95" s="3">
        <f t="shared" si="10"/>
        <v>2.1324069927576909E-2</v>
      </c>
      <c r="AK95" s="9">
        <v>42506</v>
      </c>
      <c r="AL95" s="8">
        <f>AL41/40.3353</f>
        <v>0.66319080309307232</v>
      </c>
      <c r="AM95" s="8">
        <f t="shared" ref="AM95:AZ95" si="83">AM41/40.3353</f>
        <v>0.67757026723490343</v>
      </c>
      <c r="AN95" s="8">
        <f t="shared" si="83"/>
        <v>0.74897174435296143</v>
      </c>
      <c r="AO95" s="8">
        <f t="shared" si="83"/>
        <v>0.70508958654082166</v>
      </c>
      <c r="AP95" s="8">
        <f t="shared" si="83"/>
        <v>0.70087491601649177</v>
      </c>
      <c r="AQ95" s="8">
        <f t="shared" si="83"/>
        <v>0.69864361985655254</v>
      </c>
      <c r="AR95" s="8">
        <f t="shared" si="83"/>
        <v>0.66145535052423066</v>
      </c>
      <c r="AS95" s="8">
        <f t="shared" si="83"/>
        <v>0.67980156339484288</v>
      </c>
      <c r="AT95" s="8">
        <f t="shared" si="83"/>
        <v>0.67186806593728088</v>
      </c>
      <c r="AU95" s="8">
        <f t="shared" si="83"/>
        <v>0.6661658646396581</v>
      </c>
      <c r="AV95" s="8">
        <f t="shared" si="83"/>
        <v>0.65724067999990088</v>
      </c>
      <c r="AW95" s="8">
        <f t="shared" si="83"/>
        <v>0.67236390952837843</v>
      </c>
      <c r="AX95" s="8">
        <f t="shared" si="83"/>
        <v>0.68575168648801432</v>
      </c>
      <c r="AY95" s="8">
        <f t="shared" si="83"/>
        <v>0.68674337367020954</v>
      </c>
      <c r="AZ95" s="8">
        <f t="shared" si="83"/>
        <v>0.62996928248953155</v>
      </c>
      <c r="BA95" s="8">
        <f t="shared" si="12"/>
        <v>0.68038004758445669</v>
      </c>
      <c r="BB95" s="8">
        <f t="shared" si="13"/>
        <v>2.7012696711145086E-2</v>
      </c>
    </row>
    <row r="96" spans="1:54">
      <c r="A96" s="2">
        <v>42513</v>
      </c>
      <c r="B96" s="3">
        <v>0.74890743435404283</v>
      </c>
      <c r="C96" s="3">
        <v>0.59407106768385909</v>
      </c>
      <c r="D96" s="3">
        <v>0.78792325416475473</v>
      </c>
      <c r="E96" s="3">
        <v>0.89368311792838273</v>
      </c>
      <c r="F96" s="3">
        <v>0.79160399188274644</v>
      </c>
      <c r="G96" s="3">
        <v>0.89883615073357115</v>
      </c>
      <c r="H96" s="3">
        <v>0.92361978470138184</v>
      </c>
      <c r="I96" s="3">
        <v>0.92067519452698854</v>
      </c>
      <c r="J96" s="3">
        <v>0.84117125981836793</v>
      </c>
      <c r="K96" s="3">
        <v>0.73197604085128098</v>
      </c>
      <c r="L96" s="3">
        <v>0.9358889104280208</v>
      </c>
      <c r="M96" s="3">
        <v>0.88975699769585825</v>
      </c>
      <c r="N96" s="3">
        <v>0.86301030361178532</v>
      </c>
      <c r="O96" s="3">
        <v>0.92484669727404567</v>
      </c>
      <c r="P96" s="3">
        <v>0.89441926547198114</v>
      </c>
      <c r="Q96" s="3">
        <v>0.84269263140847128</v>
      </c>
      <c r="R96" s="3">
        <v>9.5468584841456011E-2</v>
      </c>
      <c r="T96" s="3">
        <f t="shared" ref="T96:AG96" si="84">T42/40.7527</f>
        <v>0.59407106768385909</v>
      </c>
      <c r="U96" s="3">
        <f t="shared" si="84"/>
        <v>0.56707899108525328</v>
      </c>
      <c r="V96" s="3">
        <f t="shared" si="84"/>
        <v>0.6021686906634407</v>
      </c>
      <c r="W96" s="3">
        <f t="shared" si="84"/>
        <v>0.52168322589668914</v>
      </c>
      <c r="X96" s="3">
        <f t="shared" si="84"/>
        <v>0.55530063038767985</v>
      </c>
      <c r="Y96" s="3">
        <f t="shared" si="84"/>
        <v>0.60462251580876858</v>
      </c>
      <c r="Z96" s="3">
        <f t="shared" si="84"/>
        <v>0.60167792563437517</v>
      </c>
      <c r="AA96" s="3">
        <f t="shared" si="84"/>
        <v>0.52560934612921362</v>
      </c>
      <c r="AB96" s="3">
        <f t="shared" si="84"/>
        <v>0.57272278891950723</v>
      </c>
      <c r="AC96" s="3">
        <f t="shared" si="84"/>
        <v>0.51873863572229573</v>
      </c>
      <c r="AD96" s="3">
        <f t="shared" si="84"/>
        <v>0.57075972880324499</v>
      </c>
      <c r="AE96" s="3">
        <f t="shared" si="84"/>
        <v>0.56855128617244999</v>
      </c>
      <c r="AF96" s="3">
        <f t="shared" si="84"/>
        <v>0.59996024803264569</v>
      </c>
      <c r="AG96" s="3">
        <f t="shared" si="84"/>
        <v>0.54106844454477865</v>
      </c>
      <c r="AH96" s="3">
        <f t="shared" si="9"/>
        <v>0.5674295375345858</v>
      </c>
      <c r="AI96" s="3">
        <f t="shared" si="10"/>
        <v>3.1164651561965715E-2</v>
      </c>
      <c r="AK96" s="9">
        <v>42513</v>
      </c>
      <c r="AL96" s="8">
        <f>AL42/40.7527</f>
        <v>0.65345363620079167</v>
      </c>
      <c r="AM96" s="8">
        <f t="shared" ref="AM96:AZ96" si="85">AM42/40.7527</f>
        <v>0.67578344502327459</v>
      </c>
      <c r="AN96" s="8">
        <f t="shared" si="85"/>
        <v>0.77442721586545193</v>
      </c>
      <c r="AO96" s="8">
        <f t="shared" si="85"/>
        <v>0.69811325384575751</v>
      </c>
      <c r="AP96" s="8">
        <f t="shared" si="85"/>
        <v>0.68977024835164302</v>
      </c>
      <c r="AQ96" s="8">
        <f t="shared" si="85"/>
        <v>0.71062776208692924</v>
      </c>
      <c r="AR96" s="8">
        <f t="shared" si="85"/>
        <v>0.66179664169490615</v>
      </c>
      <c r="AS96" s="8">
        <f t="shared" si="85"/>
        <v>0.68559874560458578</v>
      </c>
      <c r="AT96" s="8">
        <f t="shared" si="85"/>
        <v>0.67357500239247958</v>
      </c>
      <c r="AU96" s="8">
        <f t="shared" si="85"/>
        <v>0.68388106800285631</v>
      </c>
      <c r="AV96" s="8">
        <f t="shared" si="85"/>
        <v>0.6681765870727584</v>
      </c>
      <c r="AW96" s="8">
        <f t="shared" si="85"/>
        <v>0.67848265268313512</v>
      </c>
      <c r="AX96" s="8">
        <f t="shared" si="85"/>
        <v>0.68339030297379078</v>
      </c>
      <c r="AY96" s="8">
        <f t="shared" si="85"/>
        <v>0.67063041221808617</v>
      </c>
      <c r="AZ96" s="8">
        <f t="shared" si="85"/>
        <v>0.59529798025652292</v>
      </c>
      <c r="BA96" s="8">
        <f t="shared" si="12"/>
        <v>0.68020033028486471</v>
      </c>
      <c r="BB96" s="8">
        <f t="shared" si="13"/>
        <v>3.6678970046113278E-2</v>
      </c>
    </row>
    <row r="97" spans="1:54">
      <c r="A97" s="2">
        <v>42520</v>
      </c>
      <c r="B97" s="3">
        <v>0.84722561720850642</v>
      </c>
      <c r="C97" s="3">
        <v>0.69958445367880717</v>
      </c>
      <c r="D97" s="3">
        <v>0.8665362991933514</v>
      </c>
      <c r="E97" s="3">
        <v>0.89831337081398199</v>
      </c>
      <c r="F97" s="3">
        <v>0.79711561965289668</v>
      </c>
      <c r="G97" s="3">
        <v>0.95502322170618437</v>
      </c>
      <c r="H97" s="3">
        <v>0.93082375947201179</v>
      </c>
      <c r="I97" s="3">
        <v>0.97262283060376442</v>
      </c>
      <c r="J97" s="3">
        <v>0.83573698362258619</v>
      </c>
      <c r="K97" s="3">
        <v>0.80933757027621611</v>
      </c>
      <c r="L97" s="3">
        <v>0.93571253972133961</v>
      </c>
      <c r="M97" s="3">
        <v>0.96724517232950391</v>
      </c>
      <c r="N97" s="3">
        <v>0.94060131997066732</v>
      </c>
      <c r="O97" s="3">
        <v>0.90735761427523831</v>
      </c>
      <c r="P97" s="3">
        <v>0.88291371302859933</v>
      </c>
      <c r="Q97" s="3">
        <v>0.88307667237024379</v>
      </c>
      <c r="R97" s="3">
        <v>7.5477711341148598E-2</v>
      </c>
      <c r="T97" s="3">
        <f t="shared" ref="T97:AG97" si="86">T43/40.91</f>
        <v>0.65069665118552933</v>
      </c>
      <c r="U97" s="3">
        <f t="shared" si="86"/>
        <v>0.59765338548032265</v>
      </c>
      <c r="V97" s="3">
        <f t="shared" si="86"/>
        <v>0.63798582253727709</v>
      </c>
      <c r="W97" s="3">
        <f t="shared" si="86"/>
        <v>0.52823270593986804</v>
      </c>
      <c r="X97" s="3">
        <f t="shared" si="86"/>
        <v>0.56392080175996095</v>
      </c>
      <c r="Y97" s="3">
        <f t="shared" si="86"/>
        <v>0.56416524077242725</v>
      </c>
      <c r="Z97" s="3">
        <f t="shared" si="86"/>
        <v>0.65485211439745783</v>
      </c>
      <c r="AA97" s="3">
        <f t="shared" si="86"/>
        <v>0.60596431190417999</v>
      </c>
      <c r="AB97" s="3">
        <f t="shared" si="86"/>
        <v>0.56734294793449036</v>
      </c>
      <c r="AC97" s="3">
        <f t="shared" si="86"/>
        <v>0.56905402102175517</v>
      </c>
      <c r="AD97" s="3">
        <f t="shared" si="86"/>
        <v>0.55169885113664141</v>
      </c>
      <c r="AE97" s="3">
        <f t="shared" si="86"/>
        <v>0.5494989000244439</v>
      </c>
      <c r="AF97" s="3">
        <f t="shared" si="86"/>
        <v>0.57272060620875098</v>
      </c>
      <c r="AG97" s="3">
        <f t="shared" si="86"/>
        <v>0.54241016866291869</v>
      </c>
      <c r="AH97" s="3">
        <f t="shared" si="9"/>
        <v>0.58258546635471598</v>
      </c>
      <c r="AI97" s="3">
        <f t="shared" si="10"/>
        <v>4.0688137783037301E-2</v>
      </c>
      <c r="AK97" s="9">
        <v>42520</v>
      </c>
      <c r="AL97" s="8">
        <f>AL43/40.91</f>
        <v>0.65851869958445375</v>
      </c>
      <c r="AM97" s="8">
        <f t="shared" ref="AM97:AZ97" si="87">AM43/40.91</f>
        <v>0.66560743094597907</v>
      </c>
      <c r="AN97" s="8">
        <f t="shared" si="87"/>
        <v>0.74798337814715243</v>
      </c>
      <c r="AO97" s="8">
        <f t="shared" si="87"/>
        <v>0.68736250305548774</v>
      </c>
      <c r="AP97" s="8">
        <f t="shared" si="87"/>
        <v>0.67318504033243709</v>
      </c>
      <c r="AQ97" s="8">
        <f t="shared" si="87"/>
        <v>0.70960645318992921</v>
      </c>
      <c r="AR97" s="8">
        <f t="shared" si="87"/>
        <v>0.6438523588364703</v>
      </c>
      <c r="AS97" s="8">
        <f t="shared" si="87"/>
        <v>0.67318504033243709</v>
      </c>
      <c r="AT97" s="8">
        <f t="shared" si="87"/>
        <v>0.66805182107064287</v>
      </c>
      <c r="AU97" s="8">
        <f t="shared" si="87"/>
        <v>0.67318504033243709</v>
      </c>
      <c r="AV97" s="8">
        <f t="shared" si="87"/>
        <v>0.6761183084820338</v>
      </c>
      <c r="AW97" s="8">
        <f t="shared" si="87"/>
        <v>0.67049621119530678</v>
      </c>
      <c r="AX97" s="8">
        <f t="shared" si="87"/>
        <v>0.66829626008310927</v>
      </c>
      <c r="AY97" s="8">
        <f t="shared" si="87"/>
        <v>0.6744072353947691</v>
      </c>
      <c r="AZ97" s="8">
        <f t="shared" si="87"/>
        <v>0.60767538499144469</v>
      </c>
      <c r="BA97" s="8">
        <f t="shared" si="12"/>
        <v>0.67316874439827268</v>
      </c>
      <c r="BB97" s="8">
        <f t="shared" si="13"/>
        <v>3.0017051962322926E-2</v>
      </c>
    </row>
    <row r="98" spans="1:54">
      <c r="A98" s="2">
        <v>42527</v>
      </c>
      <c r="B98" s="3">
        <v>0.8925301204819277</v>
      </c>
      <c r="C98" s="3">
        <v>0.79373493975903608</v>
      </c>
      <c r="D98" s="3">
        <v>0.90650602409638548</v>
      </c>
      <c r="E98" s="3">
        <v>0.88819277108433736</v>
      </c>
      <c r="F98" s="3">
        <v>0.81325301204819278</v>
      </c>
      <c r="G98" s="3">
        <v>0.94457831325301211</v>
      </c>
      <c r="H98" s="3">
        <v>0.92481927710843381</v>
      </c>
      <c r="I98" s="3">
        <v>0.93686746987951819</v>
      </c>
      <c r="J98" s="3">
        <v>0.84192771084337348</v>
      </c>
      <c r="K98" s="3">
        <v>0.90240963855421696</v>
      </c>
      <c r="L98" s="3">
        <v>0.92289156626506019</v>
      </c>
      <c r="M98" s="3">
        <v>0.93277108433734945</v>
      </c>
      <c r="N98" s="3">
        <v>0.96168674698795176</v>
      </c>
      <c r="O98" s="3">
        <v>0.90554216867469872</v>
      </c>
      <c r="P98" s="3">
        <v>0.91253012048192761</v>
      </c>
      <c r="Q98" s="3">
        <v>0.89868273092369466</v>
      </c>
      <c r="R98" s="3">
        <v>4.777954221143349E-2</v>
      </c>
      <c r="T98" s="3">
        <f t="shared" ref="T98:AG98" si="88">T44/41.5</f>
        <v>0.67325301204819277</v>
      </c>
      <c r="U98" s="3">
        <f t="shared" si="88"/>
        <v>0.64144578313253009</v>
      </c>
      <c r="V98" s="3">
        <f t="shared" si="88"/>
        <v>0.66361445783132533</v>
      </c>
      <c r="W98" s="3">
        <f t="shared" si="88"/>
        <v>0.52409638554216864</v>
      </c>
      <c r="X98" s="3">
        <f t="shared" si="88"/>
        <v>0.58385542168674698</v>
      </c>
      <c r="Y98" s="3">
        <f t="shared" si="88"/>
        <v>0.58746987951807228</v>
      </c>
      <c r="Z98" s="3">
        <f t="shared" si="88"/>
        <v>0.64771084337349394</v>
      </c>
      <c r="AA98" s="3">
        <f t="shared" si="88"/>
        <v>0.57036144578313253</v>
      </c>
      <c r="AB98" s="3">
        <f t="shared" si="88"/>
        <v>0.51903614457831326</v>
      </c>
      <c r="AC98" s="3">
        <f t="shared" si="88"/>
        <v>0.58554216867469877</v>
      </c>
      <c r="AD98" s="3">
        <f t="shared" si="88"/>
        <v>0.54722891566265064</v>
      </c>
      <c r="AE98" s="3">
        <f t="shared" si="88"/>
        <v>0.57614457831325305</v>
      </c>
      <c r="AF98" s="3">
        <f t="shared" si="88"/>
        <v>0.60939759036144581</v>
      </c>
      <c r="AG98" s="3">
        <f t="shared" si="88"/>
        <v>0.54433734939759038</v>
      </c>
      <c r="AH98" s="3">
        <f t="shared" si="9"/>
        <v>0.59096385542168661</v>
      </c>
      <c r="AI98" s="3">
        <f t="shared" si="10"/>
        <v>5.0096749746028263E-2</v>
      </c>
      <c r="AK98" s="9">
        <v>42527</v>
      </c>
      <c r="AL98" s="8">
        <f>AL44/41.5</f>
        <v>0.64674698795180718</v>
      </c>
      <c r="AM98" s="8">
        <f t="shared" ref="AM98:AZ98" si="89">AM44/41.5</f>
        <v>0.66987951807228918</v>
      </c>
      <c r="AN98" s="8">
        <f t="shared" si="89"/>
        <v>0.72843373493975905</v>
      </c>
      <c r="AO98" s="8">
        <f t="shared" si="89"/>
        <v>0.68771084337349397</v>
      </c>
      <c r="AP98" s="8">
        <f t="shared" si="89"/>
        <v>0.65349397590361447</v>
      </c>
      <c r="AQ98" s="8">
        <f t="shared" si="89"/>
        <v>0.70168674698795186</v>
      </c>
      <c r="AR98" s="8">
        <f t="shared" si="89"/>
        <v>0.6397590361445783</v>
      </c>
      <c r="AS98" s="8">
        <f t="shared" si="89"/>
        <v>0.65132530120481935</v>
      </c>
      <c r="AT98" s="8">
        <f t="shared" si="89"/>
        <v>0.67349397590361448</v>
      </c>
      <c r="AU98" s="8">
        <f t="shared" si="89"/>
        <v>0.68024096385542165</v>
      </c>
      <c r="AV98" s="8">
        <f t="shared" si="89"/>
        <v>0.63590361445783139</v>
      </c>
      <c r="AW98" s="8">
        <f t="shared" si="89"/>
        <v>0.66867469879518071</v>
      </c>
      <c r="AX98" s="8">
        <f t="shared" si="89"/>
        <v>0.66361445783132533</v>
      </c>
      <c r="AY98" s="8">
        <f t="shared" si="89"/>
        <v>0.63469879518072292</v>
      </c>
      <c r="AZ98" s="8">
        <f t="shared" si="89"/>
        <v>0.59397590361445785</v>
      </c>
      <c r="BA98" s="8">
        <f t="shared" si="12"/>
        <v>0.66197590361445791</v>
      </c>
      <c r="BB98" s="8">
        <f t="shared" si="13"/>
        <v>3.1837621738666513E-2</v>
      </c>
    </row>
    <row r="99" spans="1:54">
      <c r="A99" s="2">
        <v>42534</v>
      </c>
      <c r="B99" s="3">
        <v>0.93705463182897863</v>
      </c>
      <c r="C99" s="3">
        <v>0.88218527315914486</v>
      </c>
      <c r="D99" s="3">
        <v>0.9109263657957245</v>
      </c>
      <c r="E99" s="3">
        <v>0.81045130641330154</v>
      </c>
      <c r="F99" s="3">
        <v>0.80023752969121131</v>
      </c>
      <c r="G99" s="3">
        <v>0.9401425178147268</v>
      </c>
      <c r="H99" s="3">
        <v>0.92707838479809979</v>
      </c>
      <c r="I99" s="3">
        <v>0.93182897862232772</v>
      </c>
      <c r="J99" s="3">
        <v>0.85368171021377659</v>
      </c>
      <c r="K99" s="3">
        <v>0.96484560570071254</v>
      </c>
      <c r="L99" s="3">
        <v>0.91543942992874106</v>
      </c>
      <c r="M99" s="3">
        <v>0.94869358669833725</v>
      </c>
      <c r="N99" s="3">
        <v>0.94133016627078392</v>
      </c>
      <c r="O99" s="3">
        <v>0.89429928741092635</v>
      </c>
      <c r="P99" s="3">
        <v>0.88931116389548681</v>
      </c>
      <c r="Q99" s="3">
        <v>0.90316706254948531</v>
      </c>
      <c r="R99" s="3">
        <v>4.9137790871238193E-2</v>
      </c>
      <c r="T99" s="3">
        <f t="shared" ref="T99:AG99" si="90">T45/42.1</f>
        <v>0.66840855106888364</v>
      </c>
      <c r="U99" s="3">
        <f t="shared" si="90"/>
        <v>0.60213776722090262</v>
      </c>
      <c r="V99" s="3">
        <f t="shared" si="90"/>
        <v>0.6330166270783848</v>
      </c>
      <c r="W99" s="3">
        <f t="shared" si="90"/>
        <v>0.49144893111638954</v>
      </c>
      <c r="X99" s="3">
        <f t="shared" si="90"/>
        <v>0.63135391923990491</v>
      </c>
      <c r="Y99" s="3">
        <f t="shared" si="90"/>
        <v>0.64204275534441801</v>
      </c>
      <c r="Z99" s="3">
        <f t="shared" si="90"/>
        <v>0.59928741092636584</v>
      </c>
      <c r="AA99" s="3">
        <f t="shared" si="90"/>
        <v>0.58551068883610446</v>
      </c>
      <c r="AB99" s="3">
        <f t="shared" si="90"/>
        <v>0.55130641330166275</v>
      </c>
      <c r="AC99" s="3">
        <f t="shared" si="90"/>
        <v>0.55914489311163895</v>
      </c>
      <c r="AD99" s="3">
        <f t="shared" si="90"/>
        <v>0.59239904988123515</v>
      </c>
      <c r="AE99" s="3">
        <f t="shared" si="90"/>
        <v>0.53752969121140137</v>
      </c>
      <c r="AF99" s="3">
        <f t="shared" si="90"/>
        <v>0.57767220902612826</v>
      </c>
      <c r="AG99" s="3">
        <f t="shared" si="90"/>
        <v>0.5306413301662708</v>
      </c>
      <c r="AH99" s="3">
        <f t="shared" si="9"/>
        <v>0.58585001696640659</v>
      </c>
      <c r="AI99" s="3">
        <f t="shared" si="10"/>
        <v>4.8852531386667654E-2</v>
      </c>
      <c r="AK99" s="9">
        <v>42534</v>
      </c>
      <c r="AL99" s="8">
        <f>AL45/42.1</f>
        <v>0.62565320665083135</v>
      </c>
      <c r="AM99" s="8">
        <f t="shared" ref="AM99:AZ99" si="91">AM45/42.1</f>
        <v>0.64940617577197146</v>
      </c>
      <c r="AN99" s="8">
        <f t="shared" si="91"/>
        <v>0.70831353919239903</v>
      </c>
      <c r="AO99" s="8">
        <f t="shared" si="91"/>
        <v>0.66793349168646077</v>
      </c>
      <c r="AP99" s="8">
        <f t="shared" si="91"/>
        <v>0.68764845605700708</v>
      </c>
      <c r="AQ99" s="8">
        <f t="shared" si="91"/>
        <v>0.67339667458432306</v>
      </c>
      <c r="AR99" s="8">
        <f t="shared" si="91"/>
        <v>0.63990498812351548</v>
      </c>
      <c r="AS99" s="8">
        <f t="shared" si="91"/>
        <v>0.65415676959619951</v>
      </c>
      <c r="AT99" s="8">
        <f t="shared" si="91"/>
        <v>0.67315914489311157</v>
      </c>
      <c r="AU99" s="8">
        <f t="shared" si="91"/>
        <v>0.66532066508313537</v>
      </c>
      <c r="AV99" s="8">
        <f t="shared" si="91"/>
        <v>0.62921615201900227</v>
      </c>
      <c r="AW99" s="8">
        <f t="shared" si="91"/>
        <v>0.64204275534441801</v>
      </c>
      <c r="AX99" s="8">
        <f t="shared" si="91"/>
        <v>0.67577197149643697</v>
      </c>
      <c r="AY99" s="8">
        <f t="shared" si="91"/>
        <v>0.62707838479809974</v>
      </c>
      <c r="AZ99" s="8">
        <f t="shared" si="91"/>
        <v>0.58741092636579573</v>
      </c>
      <c r="BA99" s="8">
        <f t="shared" si="12"/>
        <v>0.65376088677751387</v>
      </c>
      <c r="BB99" s="8">
        <f t="shared" si="13"/>
        <v>2.9952789615728916E-2</v>
      </c>
    </row>
    <row r="100" spans="1:54">
      <c r="A100" s="2">
        <v>42541</v>
      </c>
      <c r="B100" s="3">
        <v>0.9274592671512637</v>
      </c>
      <c r="C100" s="3">
        <v>1.0035269910490494</v>
      </c>
      <c r="D100" s="3">
        <v>0.90312704491066764</v>
      </c>
      <c r="E100" s="3">
        <v>0.77390640835138558</v>
      </c>
      <c r="F100" s="3">
        <v>0.75406265429109376</v>
      </c>
      <c r="G100" s="3">
        <v>0.99762111186443869</v>
      </c>
      <c r="H100" s="3">
        <v>0.99856605253397657</v>
      </c>
      <c r="I100" s="3">
        <v>0.99880228770136092</v>
      </c>
      <c r="J100" s="3">
        <v>0.82942167268672617</v>
      </c>
      <c r="K100" s="3">
        <v>1.0240794506114947</v>
      </c>
      <c r="L100" s="3">
        <v>1.0125039274096577</v>
      </c>
      <c r="M100" s="3">
        <v>0.88257458534822242</v>
      </c>
      <c r="N100" s="3">
        <v>0.91517503844727355</v>
      </c>
      <c r="O100" s="3">
        <v>0.88446446668729783</v>
      </c>
      <c r="P100" s="3">
        <v>0.87690494133099617</v>
      </c>
      <c r="Q100" s="3">
        <v>0.91881306002499374</v>
      </c>
      <c r="R100" s="3">
        <v>8.7308896467232597E-2</v>
      </c>
      <c r="T100" s="3">
        <f t="shared" ref="T100:AG100" si="92">T46/42.3307</f>
        <v>0.64917423997240775</v>
      </c>
      <c r="U100" s="3">
        <f t="shared" si="92"/>
        <v>0.58491827444384337</v>
      </c>
      <c r="V100" s="3">
        <f t="shared" si="92"/>
        <v>0.64303212562041256</v>
      </c>
      <c r="W100" s="3">
        <f t="shared" si="92"/>
        <v>0.51782748690666591</v>
      </c>
      <c r="X100" s="3">
        <f t="shared" si="92"/>
        <v>0.64326836078779703</v>
      </c>
      <c r="Y100" s="3">
        <f t="shared" si="92"/>
        <v>0.62058978471889192</v>
      </c>
      <c r="Z100" s="3">
        <f t="shared" si="92"/>
        <v>0.62082601988627639</v>
      </c>
      <c r="AA100" s="3">
        <f t="shared" si="92"/>
        <v>0.5934227404696828</v>
      </c>
      <c r="AB100" s="3">
        <f t="shared" si="92"/>
        <v>0.55845993569678742</v>
      </c>
      <c r="AC100" s="3">
        <f t="shared" si="92"/>
        <v>0.56365710937924485</v>
      </c>
      <c r="AD100" s="3">
        <f t="shared" si="92"/>
        <v>0.52822183427158065</v>
      </c>
      <c r="AE100" s="3">
        <f t="shared" si="92"/>
        <v>0.56082228737063167</v>
      </c>
      <c r="AF100" s="3">
        <f t="shared" si="92"/>
        <v>0.55964111153370966</v>
      </c>
      <c r="AG100" s="3">
        <f t="shared" si="92"/>
        <v>0.52444207159342981</v>
      </c>
      <c r="AH100" s="3">
        <f t="shared" si="9"/>
        <v>0.58345024161795445</v>
      </c>
      <c r="AI100" s="3">
        <f t="shared" si="10"/>
        <v>4.5791687240933333E-2</v>
      </c>
      <c r="AK100" s="9">
        <v>42541</v>
      </c>
      <c r="AL100" s="8">
        <f>AL46/42.3307</f>
        <v>0.63665377610103302</v>
      </c>
      <c r="AM100" s="8">
        <f t="shared" ref="AM100:AZ100" si="93">AM46/42.3307</f>
        <v>0.61964484404935427</v>
      </c>
      <c r="AN100" s="8">
        <f t="shared" si="93"/>
        <v>0.69571256794713998</v>
      </c>
      <c r="AO100" s="8">
        <f t="shared" si="93"/>
        <v>0.68390080957791866</v>
      </c>
      <c r="AP100" s="8">
        <f t="shared" si="93"/>
        <v>0.6742151677151571</v>
      </c>
      <c r="AQ100" s="8">
        <f t="shared" si="93"/>
        <v>0.67704998972377017</v>
      </c>
      <c r="AR100" s="8">
        <f t="shared" si="93"/>
        <v>0.62318837156012064</v>
      </c>
      <c r="AS100" s="8">
        <f t="shared" si="93"/>
        <v>0.63618130576626419</v>
      </c>
      <c r="AT100" s="8">
        <f t="shared" si="93"/>
        <v>0.64066977394656832</v>
      </c>
      <c r="AU100" s="8">
        <f t="shared" si="93"/>
        <v>0.67138034570654403</v>
      </c>
      <c r="AV100" s="8">
        <f t="shared" si="93"/>
        <v>0.63665377610103302</v>
      </c>
      <c r="AW100" s="8">
        <f t="shared" si="93"/>
        <v>0.62980295624688465</v>
      </c>
      <c r="AX100" s="8">
        <f t="shared" si="93"/>
        <v>0.66216717417855131</v>
      </c>
      <c r="AY100" s="8">
        <f t="shared" si="93"/>
        <v>0.59531262180875821</v>
      </c>
      <c r="AZ100" s="8">
        <f t="shared" si="93"/>
        <v>0.58231968760261466</v>
      </c>
      <c r="BA100" s="8">
        <f t="shared" si="12"/>
        <v>0.6443235445354476</v>
      </c>
      <c r="BB100" s="8">
        <f t="shared" si="13"/>
        <v>3.2659076054142408E-2</v>
      </c>
    </row>
    <row r="101" spans="1:54">
      <c r="A101" s="2">
        <v>42548</v>
      </c>
      <c r="B101" s="3">
        <v>0.89371868621265538</v>
      </c>
      <c r="C101" s="3">
        <v>1.074410836889961</v>
      </c>
      <c r="D101" s="3">
        <v>0.89395064019298565</v>
      </c>
      <c r="E101" s="3">
        <v>0.7341343477454072</v>
      </c>
      <c r="F101" s="3">
        <v>0.73529411764705876</v>
      </c>
      <c r="G101" s="3">
        <v>0.98418073854147337</v>
      </c>
      <c r="H101" s="3">
        <v>1.0347467062534792</v>
      </c>
      <c r="I101" s="3">
        <v>0.96400074225273702</v>
      </c>
      <c r="J101" s="3">
        <v>0.79606606049359807</v>
      </c>
      <c r="K101" s="3">
        <v>0.99601039153831872</v>
      </c>
      <c r="L101" s="3">
        <v>0.97907775097420668</v>
      </c>
      <c r="M101" s="3">
        <v>0.92364074967526444</v>
      </c>
      <c r="N101" s="3">
        <v>0.79467433661161613</v>
      </c>
      <c r="O101" s="3">
        <v>0.90346075338652809</v>
      </c>
      <c r="P101" s="3">
        <v>0.87980144739283717</v>
      </c>
      <c r="Q101" s="3">
        <v>0.90581122038720852</v>
      </c>
      <c r="R101" s="3">
        <v>0.1043048871750466</v>
      </c>
      <c r="T101" s="3">
        <f t="shared" ref="T101:AG101" si="94">T47/43.112</f>
        <v>0.63369827426238634</v>
      </c>
      <c r="U101" s="3">
        <f t="shared" si="94"/>
        <v>0.5485711634811653</v>
      </c>
      <c r="V101" s="3">
        <f t="shared" si="94"/>
        <v>0.64367229541658932</v>
      </c>
      <c r="W101" s="3">
        <f t="shared" si="94"/>
        <v>0.71836147708294673</v>
      </c>
      <c r="X101" s="3">
        <f t="shared" si="94"/>
        <v>0.63624976804601963</v>
      </c>
      <c r="Y101" s="3">
        <f t="shared" si="94"/>
        <v>0.59403414362590456</v>
      </c>
      <c r="Z101" s="3">
        <f t="shared" si="94"/>
        <v>0.63926516979031356</v>
      </c>
      <c r="AA101" s="3">
        <f t="shared" si="94"/>
        <v>0.55552978289107435</v>
      </c>
      <c r="AB101" s="3">
        <f t="shared" si="94"/>
        <v>0.56364817220263497</v>
      </c>
      <c r="AC101" s="3">
        <f t="shared" si="94"/>
        <v>0.56156058637966222</v>
      </c>
      <c r="AD101" s="3">
        <f t="shared" si="94"/>
        <v>0.55251438114678042</v>
      </c>
      <c r="AE101" s="3">
        <f t="shared" si="94"/>
        <v>0.51632956021525334</v>
      </c>
      <c r="AF101" s="3">
        <f t="shared" si="94"/>
        <v>0.57594173316014097</v>
      </c>
      <c r="AG101" s="3">
        <f t="shared" si="94"/>
        <v>0.4898868064575988</v>
      </c>
      <c r="AH101" s="3">
        <f t="shared" si="9"/>
        <v>0.58780452243989079</v>
      </c>
      <c r="AI101" s="3">
        <f t="shared" si="10"/>
        <v>6.0282902935374846E-2</v>
      </c>
      <c r="AK101" s="9">
        <v>42548</v>
      </c>
      <c r="AL101" s="8">
        <f>AL47/43.112</f>
        <v>0.58174058266839856</v>
      </c>
      <c r="AM101" s="8">
        <f t="shared" ref="AM101:AZ101" si="95">AM47/43.112</f>
        <v>0.62557988495082573</v>
      </c>
      <c r="AN101" s="8">
        <f t="shared" si="95"/>
        <v>0.67544999072184075</v>
      </c>
      <c r="AO101" s="8">
        <f t="shared" si="95"/>
        <v>0.65874930413805899</v>
      </c>
      <c r="AP101" s="8">
        <f t="shared" si="95"/>
        <v>0.65967712005938017</v>
      </c>
      <c r="AQ101" s="8">
        <f t="shared" si="95"/>
        <v>0.66176470588235292</v>
      </c>
      <c r="AR101" s="8">
        <f t="shared" si="95"/>
        <v>0.60400816478010755</v>
      </c>
      <c r="AS101" s="8">
        <f t="shared" si="95"/>
        <v>0.61908517350157732</v>
      </c>
      <c r="AT101" s="8">
        <f t="shared" si="95"/>
        <v>0.62720356281313783</v>
      </c>
      <c r="AU101" s="8">
        <f t="shared" si="95"/>
        <v>0.63393022824271661</v>
      </c>
      <c r="AV101" s="8">
        <f t="shared" si="95"/>
        <v>0.61096678419001671</v>
      </c>
      <c r="AW101" s="8">
        <f t="shared" si="95"/>
        <v>0.62511597699016508</v>
      </c>
      <c r="AX101" s="8">
        <f t="shared" si="95"/>
        <v>0.63416218222304688</v>
      </c>
      <c r="AY101" s="8">
        <f t="shared" si="95"/>
        <v>0.58985897197995918</v>
      </c>
      <c r="AZ101" s="8">
        <f t="shared" si="95"/>
        <v>0.55089070328446832</v>
      </c>
      <c r="BA101" s="8">
        <f t="shared" si="12"/>
        <v>0.62387888909507017</v>
      </c>
      <c r="BB101" s="8">
        <f t="shared" si="13"/>
        <v>3.3444453235406749E-2</v>
      </c>
    </row>
    <row r="102" spans="1:54">
      <c r="A102" s="2">
        <v>42555</v>
      </c>
      <c r="B102" s="3">
        <v>0.95947238191770645</v>
      </c>
      <c r="C102" s="3">
        <v>1.114033659501964</v>
      </c>
      <c r="D102" s="3">
        <v>0.85834252521940124</v>
      </c>
      <c r="E102" s="3">
        <v>0.76271633419175222</v>
      </c>
      <c r="F102" s="3">
        <v>0.75927654314759219</v>
      </c>
      <c r="G102" s="3">
        <v>1.0443205610069872</v>
      </c>
      <c r="H102" s="3">
        <v>1.0218472595184751</v>
      </c>
      <c r="I102" s="3">
        <v>0.9427320655027942</v>
      </c>
      <c r="J102" s="3">
        <v>0.77968597000960849</v>
      </c>
      <c r="K102" s="3">
        <v>0.90672891924058585</v>
      </c>
      <c r="L102" s="3">
        <v>0.89686818491399367</v>
      </c>
      <c r="M102" s="3">
        <v>0.89044724163156164</v>
      </c>
      <c r="N102" s="3">
        <v>0.83678650134266508</v>
      </c>
      <c r="O102" s="3">
        <v>0.89228179685511355</v>
      </c>
      <c r="P102" s="3">
        <v>0.86269959387533723</v>
      </c>
      <c r="Q102" s="3">
        <v>0.90188263585836925</v>
      </c>
      <c r="R102" s="3">
        <v>0.10255636138706212</v>
      </c>
      <c r="T102" s="3">
        <f t="shared" ref="T102:AG102" si="96">T48/43.6073</f>
        <v>0.60953097302515857</v>
      </c>
      <c r="U102" s="3">
        <f t="shared" si="96"/>
        <v>0.53018645960653377</v>
      </c>
      <c r="V102" s="3">
        <f t="shared" si="96"/>
        <v>0.62053830436647073</v>
      </c>
      <c r="W102" s="3">
        <f t="shared" si="96"/>
        <v>0.66754878196999123</v>
      </c>
      <c r="X102" s="3">
        <f t="shared" si="96"/>
        <v>0.65447757600218304</v>
      </c>
      <c r="Y102" s="3">
        <f t="shared" si="96"/>
        <v>0.56320845363047012</v>
      </c>
      <c r="Z102" s="3">
        <f t="shared" si="96"/>
        <v>0.59875296108679044</v>
      </c>
      <c r="AA102" s="3">
        <f t="shared" si="96"/>
        <v>0.53775399990368578</v>
      </c>
      <c r="AB102" s="3">
        <f t="shared" si="96"/>
        <v>0.50312677005914153</v>
      </c>
      <c r="AC102" s="3">
        <f t="shared" si="96"/>
        <v>0.50702519990918948</v>
      </c>
      <c r="AD102" s="3">
        <f t="shared" si="96"/>
        <v>0.5072545193121335</v>
      </c>
      <c r="AE102" s="3">
        <f t="shared" si="96"/>
        <v>0.55105452527443799</v>
      </c>
      <c r="AF102" s="3">
        <f t="shared" si="96"/>
        <v>0.55311839990093403</v>
      </c>
      <c r="AG102" s="3">
        <f t="shared" si="96"/>
        <v>0.4801948297647412</v>
      </c>
      <c r="AH102" s="3">
        <f t="shared" si="9"/>
        <v>0.56312655384370436</v>
      </c>
      <c r="AI102" s="3">
        <f t="shared" si="10"/>
        <v>5.8631274264441091E-2</v>
      </c>
      <c r="AK102" s="9">
        <v>42555</v>
      </c>
      <c r="AL102" s="8">
        <f>AL48/43.6073</f>
        <v>0.58109536706010234</v>
      </c>
      <c r="AM102" s="8">
        <f t="shared" ref="AM102:AZ102" si="97">AM48/43.6073</f>
        <v>0.61113620884576658</v>
      </c>
      <c r="AN102" s="8">
        <f t="shared" si="97"/>
        <v>0.65401893719629511</v>
      </c>
      <c r="AO102" s="8">
        <f t="shared" si="97"/>
        <v>0.62191422078413472</v>
      </c>
      <c r="AP102" s="8">
        <f t="shared" si="97"/>
        <v>0.64736867451091906</v>
      </c>
      <c r="AQ102" s="8">
        <f t="shared" si="97"/>
        <v>0.63315087152839089</v>
      </c>
      <c r="AR102" s="8">
        <f t="shared" si="97"/>
        <v>0.59256133720730242</v>
      </c>
      <c r="AS102" s="8">
        <f t="shared" si="97"/>
        <v>0.60677914018983059</v>
      </c>
      <c r="AT102" s="8">
        <f t="shared" si="97"/>
        <v>0.59072678198375039</v>
      </c>
      <c r="AU102" s="8">
        <f t="shared" si="97"/>
        <v>0.63406814914016685</v>
      </c>
      <c r="AV102" s="8">
        <f t="shared" si="97"/>
        <v>0.60379798795155848</v>
      </c>
      <c r="AW102" s="8">
        <f t="shared" si="97"/>
        <v>0.5833885610895424</v>
      </c>
      <c r="AX102" s="8">
        <f t="shared" si="97"/>
        <v>0.62948176108128684</v>
      </c>
      <c r="AY102" s="8">
        <f t="shared" si="97"/>
        <v>0.59393725362496641</v>
      </c>
      <c r="AZ102" s="8">
        <f t="shared" si="97"/>
        <v>0.54004719393312584</v>
      </c>
      <c r="BA102" s="8">
        <f t="shared" si="12"/>
        <v>0.60823149640847585</v>
      </c>
      <c r="BB102" s="8">
        <f t="shared" si="13"/>
        <v>2.9694448805644494E-2</v>
      </c>
    </row>
    <row r="103" spans="1:54">
      <c r="A103" s="2">
        <v>42562</v>
      </c>
      <c r="B103" s="3">
        <v>0.86918869644484953</v>
      </c>
      <c r="C103" s="3">
        <v>0.98632634457611668</v>
      </c>
      <c r="D103" s="3">
        <v>0.80537830446672742</v>
      </c>
      <c r="E103" s="3">
        <v>0.79671832269826792</v>
      </c>
      <c r="F103" s="3">
        <v>0.81198723792160443</v>
      </c>
      <c r="G103" s="3">
        <v>1.0690519598906105</v>
      </c>
      <c r="H103" s="3">
        <v>1.0052415679124886</v>
      </c>
      <c r="I103" s="3">
        <v>0.96627164995442105</v>
      </c>
      <c r="J103" s="3">
        <v>0.79580674567000909</v>
      </c>
      <c r="K103" s="3">
        <v>0.87260711030082039</v>
      </c>
      <c r="L103" s="3">
        <v>0.8926618049225159</v>
      </c>
      <c r="M103" s="3">
        <v>0.86668185961713762</v>
      </c>
      <c r="N103" s="3">
        <v>0.79762989972652687</v>
      </c>
      <c r="O103" s="3">
        <v>0.83067456700091158</v>
      </c>
      <c r="P103" s="3">
        <v>0.82566089334548753</v>
      </c>
      <c r="Q103" s="3">
        <v>0.87945913096323314</v>
      </c>
      <c r="R103" s="3">
        <v>8.7451240928387963E-2</v>
      </c>
      <c r="T103" s="3">
        <f t="shared" ref="T103:AG103" si="98">T49/43.88</f>
        <v>0.62169553327256155</v>
      </c>
      <c r="U103" s="3">
        <f t="shared" si="98"/>
        <v>0.50045578851412942</v>
      </c>
      <c r="V103" s="3">
        <f t="shared" si="98"/>
        <v>0.60483135824977208</v>
      </c>
      <c r="W103" s="3">
        <f t="shared" si="98"/>
        <v>0.67525068368277108</v>
      </c>
      <c r="X103" s="3">
        <f t="shared" si="98"/>
        <v>0.61326344576116676</v>
      </c>
      <c r="Y103" s="3">
        <f t="shared" si="98"/>
        <v>0.54945305378304465</v>
      </c>
      <c r="Z103" s="3">
        <f t="shared" si="98"/>
        <v>0.61371923427529618</v>
      </c>
      <c r="AA103" s="3">
        <f t="shared" si="98"/>
        <v>0.54489516864175025</v>
      </c>
      <c r="AB103" s="3">
        <f t="shared" si="98"/>
        <v>0.4706016408386508</v>
      </c>
      <c r="AC103" s="3">
        <f t="shared" si="98"/>
        <v>0.50524156791248864</v>
      </c>
      <c r="AD103" s="3">
        <f t="shared" si="98"/>
        <v>0.47948951686417496</v>
      </c>
      <c r="AE103" s="3">
        <f t="shared" si="98"/>
        <v>0.55674567000911568</v>
      </c>
      <c r="AF103" s="3">
        <f t="shared" si="98"/>
        <v>0.5592525068368277</v>
      </c>
      <c r="AG103" s="3">
        <f t="shared" si="98"/>
        <v>0.46558796718322693</v>
      </c>
      <c r="AH103" s="3">
        <f t="shared" si="9"/>
        <v>0.55432022398749825</v>
      </c>
      <c r="AI103" s="3">
        <f t="shared" si="10"/>
        <v>6.4838379708697796E-2</v>
      </c>
      <c r="AK103" s="9">
        <v>42562</v>
      </c>
      <c r="AL103" s="8">
        <f>AL49/43.88</f>
        <v>0.58933454876937097</v>
      </c>
      <c r="AM103" s="8">
        <f t="shared" ref="AM103:AZ103" si="99">AM49/43.88</f>
        <v>0.57862351868732909</v>
      </c>
      <c r="AN103" s="8">
        <f t="shared" si="99"/>
        <v>0.65519598906107557</v>
      </c>
      <c r="AO103" s="8">
        <f t="shared" si="99"/>
        <v>0.61166818596171368</v>
      </c>
      <c r="AP103" s="8">
        <f t="shared" si="99"/>
        <v>0.63947128532360975</v>
      </c>
      <c r="AQ103" s="8">
        <f t="shared" si="99"/>
        <v>0.60141294439380122</v>
      </c>
      <c r="AR103" s="8">
        <f t="shared" si="99"/>
        <v>0.60938924339106648</v>
      </c>
      <c r="AS103" s="8">
        <f t="shared" si="99"/>
        <v>0.59799453053783036</v>
      </c>
      <c r="AT103" s="8">
        <f t="shared" si="99"/>
        <v>0.60027347310847767</v>
      </c>
      <c r="AU103" s="8">
        <f t="shared" si="99"/>
        <v>0.63719234275296266</v>
      </c>
      <c r="AV103" s="8">
        <f t="shared" si="99"/>
        <v>0.60483135824977208</v>
      </c>
      <c r="AW103" s="8">
        <f t="shared" si="99"/>
        <v>0.55150410209662715</v>
      </c>
      <c r="AX103" s="8">
        <f t="shared" si="99"/>
        <v>0.61759343664539657</v>
      </c>
      <c r="AY103" s="8">
        <f t="shared" si="99"/>
        <v>0.53896991795806737</v>
      </c>
      <c r="AZ103" s="8">
        <f t="shared" si="99"/>
        <v>0.53486782133090238</v>
      </c>
      <c r="BA103" s="8">
        <f t="shared" si="12"/>
        <v>0.59788817988453347</v>
      </c>
      <c r="BB103" s="8">
        <f t="shared" si="13"/>
        <v>3.522747638737108E-2</v>
      </c>
    </row>
    <row r="104" spans="1:54">
      <c r="A104" s="2">
        <v>42569</v>
      </c>
      <c r="B104" s="3">
        <v>0.93762720960959856</v>
      </c>
      <c r="C104" s="3">
        <v>0.89214444416649408</v>
      </c>
      <c r="D104" s="3">
        <v>0.80549977599738021</v>
      </c>
      <c r="E104" s="3">
        <v>0.77911977204037952</v>
      </c>
      <c r="F104" s="3">
        <v>0.77752787524987088</v>
      </c>
      <c r="G104" s="3">
        <v>0.96059600615836638</v>
      </c>
      <c r="H104" s="3">
        <v>0.91245249893684022</v>
      </c>
      <c r="I104" s="3">
        <v>0.89919427281017528</v>
      </c>
      <c r="J104" s="3">
        <v>0.78207615179418133</v>
      </c>
      <c r="K104" s="3">
        <v>0.87713513157026968</v>
      </c>
      <c r="L104" s="3">
        <v>0.86940306144494184</v>
      </c>
      <c r="M104" s="3">
        <v>0.8748609932981144</v>
      </c>
      <c r="N104" s="3">
        <v>0.77593597845936213</v>
      </c>
      <c r="O104" s="3">
        <v>0.81163994933219918</v>
      </c>
      <c r="P104" s="3">
        <v>0.82141874390246661</v>
      </c>
      <c r="Q104" s="3">
        <v>0.85177545765137597</v>
      </c>
      <c r="R104" s="3">
        <v>6.2297744032983424E-2</v>
      </c>
      <c r="T104" s="3">
        <f t="shared" ref="T104:AG104" si="100">T50/43.9727</f>
        <v>0.57080870631096114</v>
      </c>
      <c r="U104" s="3">
        <f t="shared" si="100"/>
        <v>0.5671700850755127</v>
      </c>
      <c r="V104" s="3">
        <f t="shared" si="100"/>
        <v>0.61015129841924642</v>
      </c>
      <c r="W104" s="3">
        <f t="shared" si="100"/>
        <v>0.66222906485160105</v>
      </c>
      <c r="X104" s="3">
        <f t="shared" si="100"/>
        <v>0.600372503848979</v>
      </c>
      <c r="Y104" s="3">
        <f t="shared" si="100"/>
        <v>0.57308284458311631</v>
      </c>
      <c r="Z104" s="3">
        <f t="shared" si="100"/>
        <v>0.57763112112742676</v>
      </c>
      <c r="AA104" s="3">
        <f t="shared" si="100"/>
        <v>0.5219147334596238</v>
      </c>
      <c r="AB104" s="3">
        <f t="shared" si="100"/>
        <v>0.51054404209884763</v>
      </c>
      <c r="AC104" s="3">
        <f t="shared" si="100"/>
        <v>0.48279955517855394</v>
      </c>
      <c r="AD104" s="3">
        <f t="shared" si="100"/>
        <v>0.46710800110068285</v>
      </c>
      <c r="AE104" s="3">
        <f t="shared" si="100"/>
        <v>0.54465611618117604</v>
      </c>
      <c r="AF104" s="3">
        <f t="shared" si="100"/>
        <v>0.56057508408626255</v>
      </c>
      <c r="AG104" s="3">
        <f t="shared" si="100"/>
        <v>0.48984938382223508</v>
      </c>
      <c r="AH104" s="3">
        <f t="shared" si="9"/>
        <v>0.55277803858173036</v>
      </c>
      <c r="AI104" s="3">
        <f t="shared" si="10"/>
        <v>5.4177784771076314E-2</v>
      </c>
      <c r="AK104" s="9">
        <v>42569</v>
      </c>
      <c r="AL104" s="8">
        <f>AL50/43.9727</f>
        <v>0.57876819026350435</v>
      </c>
      <c r="AM104" s="8">
        <f t="shared" ref="AM104:AZ104" si="101">AM50/43.9727</f>
        <v>0.58581801890718554</v>
      </c>
      <c r="AN104" s="8">
        <f t="shared" si="101"/>
        <v>0.64699233842816106</v>
      </c>
      <c r="AO104" s="8">
        <f t="shared" si="101"/>
        <v>0.63516681941295394</v>
      </c>
      <c r="AP104" s="8">
        <f t="shared" si="101"/>
        <v>0.62379612805217777</v>
      </c>
      <c r="AQ104" s="8">
        <f t="shared" si="101"/>
        <v>0.61288026434583265</v>
      </c>
      <c r="AR104" s="8">
        <f t="shared" si="101"/>
        <v>0.59878060705847025</v>
      </c>
      <c r="AS104" s="8">
        <f t="shared" si="101"/>
        <v>0.5792230179179354</v>
      </c>
      <c r="AT104" s="8">
        <f t="shared" si="101"/>
        <v>0.60878681545595326</v>
      </c>
      <c r="AU104" s="8">
        <f t="shared" si="101"/>
        <v>0.61947526533508279</v>
      </c>
      <c r="AV104" s="8">
        <f t="shared" si="101"/>
        <v>0.60833198780152231</v>
      </c>
      <c r="AW104" s="8">
        <f t="shared" si="101"/>
        <v>0.53783370136471031</v>
      </c>
      <c r="AX104" s="8">
        <f t="shared" si="101"/>
        <v>0.57831336260907329</v>
      </c>
      <c r="AY104" s="8">
        <f t="shared" si="101"/>
        <v>0.52737266531279636</v>
      </c>
      <c r="AZ104" s="8">
        <f t="shared" si="101"/>
        <v>0.52691783765836531</v>
      </c>
      <c r="BA104" s="8">
        <f t="shared" si="12"/>
        <v>0.59123046799491485</v>
      </c>
      <c r="BB104" s="8">
        <f t="shared" si="13"/>
        <v>3.7402508577745353E-2</v>
      </c>
    </row>
    <row r="105" spans="1:54">
      <c r="A105" s="2">
        <v>42576</v>
      </c>
      <c r="B105" s="3">
        <v>0.93926168394253506</v>
      </c>
      <c r="C105" s="3">
        <v>0.88743407892344062</v>
      </c>
      <c r="D105" s="3">
        <v>0.80332787779596304</v>
      </c>
      <c r="E105" s="3">
        <v>0.76491180214584475</v>
      </c>
      <c r="F105" s="3">
        <v>0.78855246408437896</v>
      </c>
      <c r="G105" s="3">
        <v>0.89561738497908716</v>
      </c>
      <c r="H105" s="3">
        <v>0.91675759228950715</v>
      </c>
      <c r="I105" s="3">
        <v>0.88925259138025092</v>
      </c>
      <c r="J105" s="3">
        <v>0.78764320785597386</v>
      </c>
      <c r="K105" s="3">
        <v>0.88038734315330058</v>
      </c>
      <c r="L105" s="3">
        <v>0.880614657210402</v>
      </c>
      <c r="M105" s="3">
        <v>0.87515911983997097</v>
      </c>
      <c r="N105" s="3">
        <v>0.79832696853973451</v>
      </c>
      <c r="O105" s="3">
        <v>0.83174213493362448</v>
      </c>
      <c r="P105" s="3">
        <v>0.83810692853246049</v>
      </c>
      <c r="Q105" s="3">
        <v>0.8518063890404316</v>
      </c>
      <c r="R105" s="3">
        <v>5.3531889343881145E-2</v>
      </c>
      <c r="T105" s="3">
        <f t="shared" ref="T105:AG105" si="102">T51/43.992</f>
        <v>0.56851245681032925</v>
      </c>
      <c r="U105" s="3">
        <f t="shared" si="102"/>
        <v>0.52850518276050196</v>
      </c>
      <c r="V105" s="3">
        <f t="shared" si="102"/>
        <v>0.59374431714857256</v>
      </c>
      <c r="W105" s="3">
        <f t="shared" si="102"/>
        <v>0.64989088925259142</v>
      </c>
      <c r="X105" s="3">
        <f t="shared" si="102"/>
        <v>0.58306055646481181</v>
      </c>
      <c r="Y105" s="3">
        <f t="shared" si="102"/>
        <v>0.57101291143844346</v>
      </c>
      <c r="Z105" s="3">
        <f t="shared" si="102"/>
        <v>0.54828150572831424</v>
      </c>
      <c r="AA105" s="3">
        <f t="shared" si="102"/>
        <v>0.52736861247499545</v>
      </c>
      <c r="AB105" s="3">
        <f t="shared" si="102"/>
        <v>0.52691398436079284</v>
      </c>
      <c r="AC105" s="3">
        <f t="shared" si="102"/>
        <v>0.51327514093471538</v>
      </c>
      <c r="AD105" s="3">
        <f t="shared" si="102"/>
        <v>0.53055100927441357</v>
      </c>
      <c r="AE105" s="3">
        <f t="shared" si="102"/>
        <v>0.52941443898890705</v>
      </c>
      <c r="AF105" s="3">
        <f t="shared" si="102"/>
        <v>0.55328241498454267</v>
      </c>
      <c r="AG105" s="3">
        <f t="shared" si="102"/>
        <v>0.48008728859792693</v>
      </c>
      <c r="AH105" s="3">
        <f t="shared" si="9"/>
        <v>0.55027862208713285</v>
      </c>
      <c r="AI105" s="3">
        <f t="shared" si="10"/>
        <v>4.1442593865911974E-2</v>
      </c>
      <c r="AK105" s="9">
        <v>42576</v>
      </c>
      <c r="AL105" s="8">
        <f>AL51/43.992</f>
        <v>0.55305510092744137</v>
      </c>
      <c r="AM105" s="8">
        <f t="shared" ref="AM105:AZ105" si="103">AM51/43.992</f>
        <v>0.57601382069467177</v>
      </c>
      <c r="AN105" s="8">
        <f t="shared" si="103"/>
        <v>0.65125477359519912</v>
      </c>
      <c r="AO105" s="8">
        <f t="shared" si="103"/>
        <v>0.61897617748681588</v>
      </c>
      <c r="AP105" s="8">
        <f t="shared" si="103"/>
        <v>0.61647572285870167</v>
      </c>
      <c r="AQ105" s="8">
        <f t="shared" si="103"/>
        <v>0.59874522640480088</v>
      </c>
      <c r="AR105" s="8">
        <f t="shared" si="103"/>
        <v>0.57101291143844346</v>
      </c>
      <c r="AS105" s="8">
        <f t="shared" si="103"/>
        <v>0.58487906892162211</v>
      </c>
      <c r="AT105" s="8">
        <f t="shared" si="103"/>
        <v>0.6032915075468267</v>
      </c>
      <c r="AU105" s="8">
        <f t="shared" si="103"/>
        <v>0.62352245862884159</v>
      </c>
      <c r="AV105" s="8">
        <f t="shared" si="103"/>
        <v>0.61011092925986543</v>
      </c>
      <c r="AW105" s="8">
        <f t="shared" si="103"/>
        <v>0.54009819967266781</v>
      </c>
      <c r="AX105" s="8">
        <f t="shared" si="103"/>
        <v>0.5826059283506092</v>
      </c>
      <c r="AY105" s="8">
        <f t="shared" si="103"/>
        <v>0.53532460447354069</v>
      </c>
      <c r="AZ105" s="8">
        <f t="shared" si="103"/>
        <v>0.53668848881614839</v>
      </c>
      <c r="BA105" s="8">
        <f t="shared" si="12"/>
        <v>0.58680366127174644</v>
      </c>
      <c r="BB105" s="8">
        <f t="shared" si="13"/>
        <v>3.5096275256326602E-2</v>
      </c>
    </row>
    <row r="106" spans="1:54">
      <c r="A106" s="2">
        <v>42583</v>
      </c>
      <c r="B106" s="3">
        <v>0.88609025956407694</v>
      </c>
      <c r="C106" s="3">
        <v>0.86890657502034907</v>
      </c>
      <c r="D106" s="3">
        <v>0.77145699556841807</v>
      </c>
      <c r="E106" s="3">
        <v>0.74997738988875828</v>
      </c>
      <c r="F106" s="3">
        <v>0.7811793434023695</v>
      </c>
      <c r="G106" s="3">
        <v>0.86438455277199955</v>
      </c>
      <c r="H106" s="3">
        <v>0.91344849416659124</v>
      </c>
      <c r="I106" s="3">
        <v>0.86981097947001895</v>
      </c>
      <c r="J106" s="3">
        <v>0.77530071447951521</v>
      </c>
      <c r="K106" s="3">
        <v>0.88043773175364015</v>
      </c>
      <c r="L106" s="3">
        <v>0.87252419281902871</v>
      </c>
      <c r="M106" s="3">
        <v>0.8618974405354074</v>
      </c>
      <c r="N106" s="3">
        <v>0.81260739802839821</v>
      </c>
      <c r="O106" s="3">
        <v>0.80017183684543725</v>
      </c>
      <c r="P106" s="3">
        <v>0.80107624129510713</v>
      </c>
      <c r="Q106" s="3">
        <v>0.8339513430406077</v>
      </c>
      <c r="R106" s="3">
        <v>5.1242699068084256E-2</v>
      </c>
      <c r="T106" s="3">
        <f t="shared" ref="T106:AG106" si="104">T52/44.228</f>
        <v>0.59306321787103189</v>
      </c>
      <c r="U106" s="3">
        <f t="shared" si="104"/>
        <v>0.55236501763588675</v>
      </c>
      <c r="V106" s="3">
        <f t="shared" si="104"/>
        <v>0.59894184679388618</v>
      </c>
      <c r="W106" s="3">
        <f t="shared" si="104"/>
        <v>0.64416206927738073</v>
      </c>
      <c r="X106" s="3">
        <f t="shared" si="104"/>
        <v>0.60368997015465309</v>
      </c>
      <c r="Y106" s="3">
        <f t="shared" si="104"/>
        <v>0.56841819661752735</v>
      </c>
      <c r="Z106" s="3">
        <f t="shared" si="104"/>
        <v>0.54332097313918781</v>
      </c>
      <c r="AA106" s="3">
        <f t="shared" si="104"/>
        <v>0.53224201863073162</v>
      </c>
      <c r="AB106" s="3">
        <f t="shared" si="104"/>
        <v>0.55281721986072163</v>
      </c>
      <c r="AC106" s="3">
        <f t="shared" si="104"/>
        <v>0.52523288414578995</v>
      </c>
      <c r="AD106" s="3">
        <f t="shared" si="104"/>
        <v>0.51664104187392601</v>
      </c>
      <c r="AE106" s="3">
        <f t="shared" si="104"/>
        <v>0.53563353531699376</v>
      </c>
      <c r="AF106" s="3">
        <f t="shared" si="104"/>
        <v>0.5869584878357601</v>
      </c>
      <c r="AG106" s="3">
        <f t="shared" si="104"/>
        <v>0.49154381839558647</v>
      </c>
      <c r="AH106" s="3">
        <f t="shared" si="9"/>
        <v>0.56035930696779046</v>
      </c>
      <c r="AI106" s="3">
        <f t="shared" si="10"/>
        <v>4.1067332734600337E-2</v>
      </c>
      <c r="AK106" s="9">
        <v>42583</v>
      </c>
      <c r="AL106" s="8">
        <f>AL52/44.228</f>
        <v>0.55982635434566341</v>
      </c>
      <c r="AM106" s="8">
        <f t="shared" ref="AM106:AZ106" si="105">AM52/44.228</f>
        <v>0.58311476892466307</v>
      </c>
      <c r="AN106" s="8">
        <f t="shared" si="105"/>
        <v>0.6147689246631094</v>
      </c>
      <c r="AO106" s="8">
        <f t="shared" si="105"/>
        <v>0.61318621687618702</v>
      </c>
      <c r="AP106" s="8">
        <f t="shared" si="105"/>
        <v>0.57180971330378938</v>
      </c>
      <c r="AQ106" s="8">
        <f t="shared" si="105"/>
        <v>0.59328931898344939</v>
      </c>
      <c r="AR106" s="8">
        <f t="shared" si="105"/>
        <v>0.52726779415754721</v>
      </c>
      <c r="AS106" s="8">
        <f t="shared" si="105"/>
        <v>0.58017545446323593</v>
      </c>
      <c r="AT106" s="8">
        <f t="shared" si="105"/>
        <v>0.60979470018992488</v>
      </c>
      <c r="AU106" s="8">
        <f t="shared" si="105"/>
        <v>0.59555033010762415</v>
      </c>
      <c r="AV106" s="8">
        <f t="shared" si="105"/>
        <v>0.59577643122004165</v>
      </c>
      <c r="AW106" s="8">
        <f t="shared" si="105"/>
        <v>0.52500678303337245</v>
      </c>
      <c r="AX106" s="8">
        <f t="shared" si="105"/>
        <v>0.5763317355521389</v>
      </c>
      <c r="AY106" s="8">
        <f t="shared" si="105"/>
        <v>0.53043320973139185</v>
      </c>
      <c r="AZ106" s="8">
        <f t="shared" si="105"/>
        <v>0.53472913086732377</v>
      </c>
      <c r="BA106" s="8">
        <f t="shared" si="12"/>
        <v>0.57407072442796414</v>
      </c>
      <c r="BB106" s="8">
        <f t="shared" si="13"/>
        <v>3.1787689026950845E-2</v>
      </c>
    </row>
    <row r="107" spans="1:54">
      <c r="A107" s="2">
        <v>42590</v>
      </c>
      <c r="B107" s="3">
        <v>0.88656861894239314</v>
      </c>
      <c r="C107" s="3">
        <v>0.82848769285204038</v>
      </c>
      <c r="D107" s="3">
        <v>0.77752779984556253</v>
      </c>
      <c r="E107" s="3">
        <v>0.7706292990455591</v>
      </c>
      <c r="F107" s="3">
        <v>0.76128294312297362</v>
      </c>
      <c r="G107" s="3">
        <v>0.84807053383269571</v>
      </c>
      <c r="H107" s="3">
        <v>0.89279952289078335</v>
      </c>
      <c r="I107" s="3">
        <v>0.85830701889076555</v>
      </c>
      <c r="J107" s="3">
        <v>0.76973916991007474</v>
      </c>
      <c r="K107" s="3">
        <v>0.80378660934235024</v>
      </c>
      <c r="L107" s="3">
        <v>0.84829306611656674</v>
      </c>
      <c r="M107" s="3">
        <v>0.85763942203915233</v>
      </c>
      <c r="N107" s="3">
        <v>0.81113017471009607</v>
      </c>
      <c r="O107" s="3">
        <v>0.78375870379395285</v>
      </c>
      <c r="P107" s="3">
        <v>0.80067115736815508</v>
      </c>
      <c r="Q107" s="3">
        <v>0.81991278218020802</v>
      </c>
      <c r="R107" s="3">
        <v>4.3522954442957097E-2</v>
      </c>
      <c r="T107" s="3">
        <f t="shared" ref="T107:AG107" si="106">T53/44.9373</f>
        <v>0.58948801997449773</v>
      </c>
      <c r="U107" s="3">
        <f t="shared" si="106"/>
        <v>0.54609422461963664</v>
      </c>
      <c r="V107" s="3">
        <f t="shared" si="106"/>
        <v>0.57324316325190883</v>
      </c>
      <c r="W107" s="3">
        <f t="shared" si="106"/>
        <v>0.63621979958742514</v>
      </c>
      <c r="X107" s="3">
        <f t="shared" si="106"/>
        <v>0.5391957238196331</v>
      </c>
      <c r="Y107" s="3">
        <f t="shared" si="106"/>
        <v>0.59950197274869654</v>
      </c>
      <c r="Z107" s="3">
        <f t="shared" si="106"/>
        <v>0.54609422461963664</v>
      </c>
      <c r="AA107" s="3">
        <f t="shared" si="106"/>
        <v>0.5547729836906089</v>
      </c>
      <c r="AB107" s="3">
        <f t="shared" si="106"/>
        <v>0.56523200103254978</v>
      </c>
      <c r="AC107" s="3">
        <f t="shared" si="106"/>
        <v>0.53897319153576206</v>
      </c>
      <c r="AD107" s="3">
        <f t="shared" si="106"/>
        <v>0.53852812696801988</v>
      </c>
      <c r="AE107" s="3">
        <f t="shared" si="106"/>
        <v>0.55521804825835108</v>
      </c>
      <c r="AF107" s="3">
        <f t="shared" si="106"/>
        <v>0.52384099623252844</v>
      </c>
      <c r="AG107" s="3">
        <f t="shared" si="106"/>
        <v>0.46620513470991803</v>
      </c>
      <c r="AH107" s="3">
        <f t="shared" si="9"/>
        <v>0.55518625793208376</v>
      </c>
      <c r="AI107" s="3">
        <f t="shared" si="10"/>
        <v>3.9218930685333504E-2</v>
      </c>
      <c r="AK107" s="9">
        <v>42590</v>
      </c>
      <c r="AL107" s="8">
        <f>AL53/44.9373</f>
        <v>0.54409143406479687</v>
      </c>
      <c r="AM107" s="8">
        <f t="shared" ref="AM107:AZ107" si="107">AM53/44.9373</f>
        <v>0.54854207974221858</v>
      </c>
      <c r="AN107" s="8">
        <f t="shared" si="107"/>
        <v>0.58615003571643154</v>
      </c>
      <c r="AO107" s="8">
        <f t="shared" si="107"/>
        <v>0.61975241058096509</v>
      </c>
      <c r="AP107" s="8">
        <f t="shared" si="107"/>
        <v>0.56389680732932335</v>
      </c>
      <c r="AQ107" s="8">
        <f t="shared" si="107"/>
        <v>0.54097598209060171</v>
      </c>
      <c r="AR107" s="8">
        <f t="shared" si="107"/>
        <v>0.50603841352284173</v>
      </c>
      <c r="AS107" s="8">
        <f t="shared" si="107"/>
        <v>0.56345174276158116</v>
      </c>
      <c r="AT107" s="8">
        <f t="shared" si="107"/>
        <v>0.565899597884163</v>
      </c>
      <c r="AU107" s="8">
        <f t="shared" si="107"/>
        <v>0.59304853651643508</v>
      </c>
      <c r="AV107" s="8">
        <f t="shared" si="107"/>
        <v>0.58837535855514245</v>
      </c>
      <c r="AW107" s="8">
        <f t="shared" si="107"/>
        <v>0.51538476944542733</v>
      </c>
      <c r="AX107" s="8">
        <f t="shared" si="107"/>
        <v>0.57079530812932677</v>
      </c>
      <c r="AY107" s="8">
        <f t="shared" si="107"/>
        <v>0.51605236629704054</v>
      </c>
      <c r="AZ107" s="8">
        <f t="shared" si="107"/>
        <v>0.5291817710454344</v>
      </c>
      <c r="BA107" s="8">
        <f t="shared" si="12"/>
        <v>0.55677577424544855</v>
      </c>
      <c r="BB107" s="8">
        <f t="shared" si="13"/>
        <v>3.2407957345655616E-2</v>
      </c>
    </row>
    <row r="108" spans="1:54">
      <c r="A108" s="2">
        <v>42597</v>
      </c>
      <c r="B108" s="3">
        <v>0.88498515794603694</v>
      </c>
      <c r="C108" s="3">
        <v>0.8626113154047228</v>
      </c>
      <c r="D108" s="3">
        <v>0.76979309733729118</v>
      </c>
      <c r="E108" s="3">
        <v>0.75827389127641653</v>
      </c>
      <c r="F108" s="3">
        <v>0.77200832927207474</v>
      </c>
      <c r="G108" s="3">
        <v>0.85729475876124228</v>
      </c>
      <c r="H108" s="3">
        <v>0.86814939524168167</v>
      </c>
      <c r="I108" s="3">
        <v>0.8626113154047228</v>
      </c>
      <c r="J108" s="3">
        <v>0.75561561295467627</v>
      </c>
      <c r="K108" s="3">
        <v>0.76514111027424569</v>
      </c>
      <c r="L108" s="3">
        <v>0.86283283859820126</v>
      </c>
      <c r="M108" s="3">
        <v>0.82716760444818571</v>
      </c>
      <c r="N108" s="3">
        <v>0.80612290106774176</v>
      </c>
      <c r="O108" s="3">
        <v>0.7954897877807805</v>
      </c>
      <c r="P108" s="3">
        <v>0.78441362810686266</v>
      </c>
      <c r="Q108" s="3">
        <v>0.81550071625832554</v>
      </c>
      <c r="R108" s="3">
        <v>4.7052222584865078E-2</v>
      </c>
      <c r="T108" s="3">
        <f t="shared" ref="T108:AG108" si="108">T54/45.142</f>
        <v>0.58792255549155992</v>
      </c>
      <c r="U108" s="3">
        <f t="shared" si="108"/>
        <v>0.54982056621328246</v>
      </c>
      <c r="V108" s="3">
        <f t="shared" si="108"/>
        <v>0.56820699127198615</v>
      </c>
      <c r="W108" s="3">
        <f t="shared" si="108"/>
        <v>0.62912586947853433</v>
      </c>
      <c r="X108" s="3">
        <f t="shared" si="108"/>
        <v>0.53387089628284079</v>
      </c>
      <c r="Y108" s="3">
        <f t="shared" si="108"/>
        <v>0.55890301714589519</v>
      </c>
      <c r="Z108" s="3">
        <f t="shared" si="108"/>
        <v>0.53608612821762436</v>
      </c>
      <c r="AA108" s="3">
        <f t="shared" si="108"/>
        <v>0.55646626201763327</v>
      </c>
      <c r="AB108" s="3">
        <f t="shared" si="108"/>
        <v>0.55048513579371761</v>
      </c>
      <c r="AC108" s="3">
        <f t="shared" si="108"/>
        <v>0.56665632891763762</v>
      </c>
      <c r="AD108" s="3">
        <f t="shared" si="108"/>
        <v>0.53054804838066538</v>
      </c>
      <c r="AE108" s="3">
        <f t="shared" si="108"/>
        <v>0.52146559744805276</v>
      </c>
      <c r="AF108" s="3">
        <f t="shared" si="108"/>
        <v>0.5121616233219618</v>
      </c>
      <c r="AG108" s="3">
        <f t="shared" si="108"/>
        <v>0.45766691772628593</v>
      </c>
      <c r="AH108" s="3">
        <f t="shared" si="9"/>
        <v>0.54709899555054842</v>
      </c>
      <c r="AI108" s="3">
        <f t="shared" si="10"/>
        <v>3.9139738505675113E-2</v>
      </c>
      <c r="AK108" s="9">
        <v>42597</v>
      </c>
      <c r="AL108" s="8">
        <f>AL54/45.142</f>
        <v>0.51437685525674537</v>
      </c>
      <c r="AM108" s="8">
        <f t="shared" ref="AM108:AZ108" si="109">AM54/45.142</f>
        <v>0.49244605910238798</v>
      </c>
      <c r="AN108" s="8">
        <f t="shared" si="109"/>
        <v>0.55602321563067658</v>
      </c>
      <c r="AO108" s="8">
        <f t="shared" si="109"/>
        <v>0.6100748748393956</v>
      </c>
      <c r="AP108" s="8">
        <f t="shared" si="109"/>
        <v>0.54029506889371315</v>
      </c>
      <c r="AQ108" s="8">
        <f t="shared" si="109"/>
        <v>0.51703513357848563</v>
      </c>
      <c r="AR108" s="8">
        <f t="shared" si="109"/>
        <v>0.501750033228479</v>
      </c>
      <c r="AS108" s="8">
        <f t="shared" si="109"/>
        <v>0.57064374640024806</v>
      </c>
      <c r="AT108" s="8">
        <f t="shared" si="109"/>
        <v>0.54694076469806385</v>
      </c>
      <c r="AU108" s="8">
        <f t="shared" si="109"/>
        <v>0.55270036772850117</v>
      </c>
      <c r="AV108" s="8">
        <f t="shared" si="109"/>
        <v>0.55868149395241673</v>
      </c>
      <c r="AW108" s="8">
        <f t="shared" si="109"/>
        <v>0.52390235257631468</v>
      </c>
      <c r="AX108" s="8">
        <f t="shared" si="109"/>
        <v>0.5584599707589385</v>
      </c>
      <c r="AY108" s="8">
        <f t="shared" si="109"/>
        <v>0.52855433963936016</v>
      </c>
      <c r="AZ108" s="8">
        <f t="shared" si="109"/>
        <v>0.54494705595675863</v>
      </c>
      <c r="BA108" s="8">
        <f t="shared" si="12"/>
        <v>0.5411220888160323</v>
      </c>
      <c r="BB108" s="8">
        <f t="shared" si="13"/>
        <v>2.9652381823865717E-2</v>
      </c>
    </row>
    <row r="109" spans="1:54">
      <c r="A109" s="2">
        <v>42603</v>
      </c>
      <c r="B109" s="3">
        <v>0.84450914424693324</v>
      </c>
      <c r="C109" s="3">
        <v>0.87035470267667203</v>
      </c>
      <c r="D109" s="3">
        <v>0.73516255089034632</v>
      </c>
      <c r="E109" s="3">
        <v>0.7682978822105242</v>
      </c>
      <c r="F109" s="3">
        <v>0.75526465189125414</v>
      </c>
      <c r="G109" s="3">
        <v>0.85997229886301629</v>
      </c>
      <c r="H109" s="3">
        <v>0.87388913801749102</v>
      </c>
      <c r="I109" s="3">
        <v>0.84318373099412625</v>
      </c>
      <c r="J109" s="3">
        <v>0.7720532197601444</v>
      </c>
      <c r="K109" s="3">
        <v>0.78044750369458937</v>
      </c>
      <c r="L109" s="3">
        <v>0.84914809063175811</v>
      </c>
      <c r="M109" s="3">
        <v>0.77116961092493952</v>
      </c>
      <c r="N109" s="3">
        <v>0.79745697377228075</v>
      </c>
      <c r="O109" s="3">
        <v>0.78398193903540847</v>
      </c>
      <c r="P109" s="3">
        <v>0.79392253843146166</v>
      </c>
      <c r="Q109" s="3">
        <v>0.80658759840272976</v>
      </c>
      <c r="R109" s="3">
        <v>4.560797026439084E-2</v>
      </c>
      <c r="T109" s="3">
        <f t="shared" ref="T109:AG109" si="110">T55/45.2689</f>
        <v>0.58958799529036487</v>
      </c>
      <c r="U109" s="3">
        <f t="shared" si="110"/>
        <v>0.54231492260691117</v>
      </c>
      <c r="V109" s="3">
        <f t="shared" si="110"/>
        <v>0.58185641798232335</v>
      </c>
      <c r="W109" s="3">
        <f t="shared" si="110"/>
        <v>0.57302032963027594</v>
      </c>
      <c r="X109" s="3">
        <f t="shared" si="110"/>
        <v>0.5328161276284602</v>
      </c>
      <c r="Y109" s="3">
        <f t="shared" si="110"/>
        <v>0.48863568586822298</v>
      </c>
      <c r="Z109" s="3">
        <f t="shared" si="110"/>
        <v>0.55115101095895858</v>
      </c>
      <c r="AA109" s="3">
        <f t="shared" si="110"/>
        <v>0.54297762923331461</v>
      </c>
      <c r="AB109" s="3">
        <f t="shared" si="110"/>
        <v>0.52906079007883999</v>
      </c>
      <c r="AC109" s="3">
        <f t="shared" si="110"/>
        <v>0.52353823485881035</v>
      </c>
      <c r="AD109" s="3">
        <f t="shared" si="110"/>
        <v>0.49592545875866206</v>
      </c>
      <c r="AE109" s="3">
        <f t="shared" si="110"/>
        <v>0.50034350293468577</v>
      </c>
      <c r="AF109" s="3">
        <f t="shared" si="110"/>
        <v>0.52243372381480435</v>
      </c>
      <c r="AG109" s="3">
        <f t="shared" si="110"/>
        <v>0.44644336398719653</v>
      </c>
      <c r="AH109" s="3">
        <f t="shared" si="9"/>
        <v>0.53000751383084499</v>
      </c>
      <c r="AI109" s="3">
        <f t="shared" si="10"/>
        <v>3.8927074226832663E-2</v>
      </c>
      <c r="AK109" s="9">
        <v>42603</v>
      </c>
      <c r="AL109" s="8">
        <f>AL55/45.2689</f>
        <v>0.52243372381480435</v>
      </c>
      <c r="AM109" s="8">
        <f t="shared" ref="AM109:AZ109" si="111">AM55/45.2689</f>
        <v>0.50056440514348699</v>
      </c>
      <c r="AN109" s="8">
        <f t="shared" si="111"/>
        <v>0.55313913083816924</v>
      </c>
      <c r="AO109" s="8">
        <f t="shared" si="111"/>
        <v>0.56175431698141542</v>
      </c>
      <c r="AP109" s="8">
        <f t="shared" si="111"/>
        <v>0.53149071437565298</v>
      </c>
      <c r="AQ109" s="8">
        <f t="shared" si="111"/>
        <v>0.5105050045395404</v>
      </c>
      <c r="AR109" s="8">
        <f t="shared" si="111"/>
        <v>0.48863568586822298</v>
      </c>
      <c r="AS109" s="8">
        <f t="shared" si="111"/>
        <v>0.52883988787003877</v>
      </c>
      <c r="AT109" s="8">
        <f t="shared" si="111"/>
        <v>0.5166902663859736</v>
      </c>
      <c r="AU109" s="8">
        <f t="shared" si="111"/>
        <v>0.51602755975957004</v>
      </c>
      <c r="AV109" s="8">
        <f t="shared" si="111"/>
        <v>0.52486364811161745</v>
      </c>
      <c r="AW109" s="8">
        <f t="shared" si="111"/>
        <v>0.51072590674834162</v>
      </c>
      <c r="AX109" s="8">
        <f t="shared" si="111"/>
        <v>0.56307973023422253</v>
      </c>
      <c r="AY109" s="8">
        <f t="shared" si="111"/>
        <v>0.51072590674834162</v>
      </c>
      <c r="AZ109" s="8">
        <f t="shared" si="111"/>
        <v>0.5328161276284602</v>
      </c>
      <c r="BA109" s="8">
        <f t="shared" si="12"/>
        <v>0.52481946766985721</v>
      </c>
      <c r="BB109" s="8">
        <f t="shared" si="13"/>
        <v>2.1386678380177708E-2</v>
      </c>
    </row>
    <row r="110" spans="1:54">
      <c r="A110" s="2">
        <v>42610</v>
      </c>
      <c r="B110" s="3">
        <v>0.84302752836964223</v>
      </c>
      <c r="C110" s="3">
        <v>0.85575081659380015</v>
      </c>
      <c r="D110" s="3">
        <v>0.74167995665307318</v>
      </c>
      <c r="E110" s="3">
        <v>0.76010678787426755</v>
      </c>
      <c r="F110" s="3">
        <v>0.76449412864121857</v>
      </c>
      <c r="G110" s="3">
        <v>0.8454405657914652</v>
      </c>
      <c r="H110" s="3">
        <v>0.8697903070480435</v>
      </c>
      <c r="I110" s="3">
        <v>0.84565993282981278</v>
      </c>
      <c r="J110" s="3">
        <v>0.76383602752617596</v>
      </c>
      <c r="K110" s="3">
        <v>0.72478869470031171</v>
      </c>
      <c r="L110" s="3">
        <v>0.83622715018086802</v>
      </c>
      <c r="M110" s="3">
        <v>0.72654363100709207</v>
      </c>
      <c r="N110" s="3">
        <v>0.80156715812195489</v>
      </c>
      <c r="O110" s="3">
        <v>0.77019767163825492</v>
      </c>
      <c r="P110" s="3">
        <v>0.77304944313677315</v>
      </c>
      <c r="Q110" s="3">
        <v>0.79481065334085033</v>
      </c>
      <c r="R110" s="3">
        <v>5.0084992992366732E-2</v>
      </c>
      <c r="T110" s="3">
        <f t="shared" ref="T110:AG110" si="112">T56/45.5857</f>
        <v>0.54490772325531911</v>
      </c>
      <c r="U110" s="3">
        <f t="shared" si="112"/>
        <v>0.50717659265954018</v>
      </c>
      <c r="V110" s="3">
        <f t="shared" si="112"/>
        <v>0.56903809747354983</v>
      </c>
      <c r="W110" s="3">
        <f t="shared" si="112"/>
        <v>0.50717659265954018</v>
      </c>
      <c r="X110" s="3">
        <f t="shared" si="112"/>
        <v>0.53701050987480725</v>
      </c>
      <c r="Y110" s="3">
        <f t="shared" si="112"/>
        <v>0.47646520729088282</v>
      </c>
      <c r="Z110" s="3">
        <f t="shared" si="112"/>
        <v>0.48962722959173599</v>
      </c>
      <c r="AA110" s="3">
        <f t="shared" si="112"/>
        <v>0.4834849525180045</v>
      </c>
      <c r="AB110" s="3">
        <f t="shared" si="112"/>
        <v>0.49204026701355902</v>
      </c>
      <c r="AC110" s="3">
        <f t="shared" si="112"/>
        <v>0.48962722959173599</v>
      </c>
      <c r="AD110" s="3">
        <f t="shared" si="112"/>
        <v>0.47427153690740737</v>
      </c>
      <c r="AE110" s="3">
        <f t="shared" si="112"/>
        <v>0.487652926246608</v>
      </c>
      <c r="AF110" s="3">
        <f t="shared" si="112"/>
        <v>0.49204026701355902</v>
      </c>
      <c r="AG110" s="3">
        <f t="shared" si="112"/>
        <v>0.45343166826438996</v>
      </c>
      <c r="AH110" s="3">
        <f t="shared" si="9"/>
        <v>0.50028220002575996</v>
      </c>
      <c r="AI110" s="3">
        <f t="shared" si="10"/>
        <v>3.0892098387154683E-2</v>
      </c>
      <c r="AK110" s="9">
        <v>42610</v>
      </c>
      <c r="AL110" s="8">
        <f>AL56/45.5857</f>
        <v>0.52121608311378353</v>
      </c>
      <c r="AM110" s="8">
        <f t="shared" ref="AM110:AZ110" si="113">AM56/45.5857</f>
        <v>0.48962722959173599</v>
      </c>
      <c r="AN110" s="8">
        <f t="shared" si="113"/>
        <v>0.55806974555617217</v>
      </c>
      <c r="AO110" s="8">
        <f t="shared" si="113"/>
        <v>0.53108759983942333</v>
      </c>
      <c r="AP110" s="8">
        <f t="shared" si="113"/>
        <v>0.53591367468306939</v>
      </c>
      <c r="AQ110" s="8">
        <f t="shared" si="113"/>
        <v>0.49204026701355902</v>
      </c>
      <c r="AR110" s="8">
        <f t="shared" si="113"/>
        <v>0.49686634185720518</v>
      </c>
      <c r="AS110" s="8">
        <f t="shared" si="113"/>
        <v>0.51200266750318624</v>
      </c>
      <c r="AT110" s="8">
        <f t="shared" si="113"/>
        <v>0.50958963008136327</v>
      </c>
      <c r="AU110" s="8">
        <f t="shared" si="113"/>
        <v>0.51639000827013726</v>
      </c>
      <c r="AV110" s="8">
        <f t="shared" si="113"/>
        <v>0.51397697084831429</v>
      </c>
      <c r="AW110" s="8">
        <f t="shared" si="113"/>
        <v>0.5161706412317898</v>
      </c>
      <c r="AX110" s="8">
        <f t="shared" si="113"/>
        <v>0.56267645336147076</v>
      </c>
      <c r="AY110" s="8">
        <f t="shared" si="113"/>
        <v>0.51880304569196034</v>
      </c>
      <c r="AZ110" s="8">
        <f t="shared" si="113"/>
        <v>0.51880304569196034</v>
      </c>
      <c r="BA110" s="8">
        <f t="shared" si="12"/>
        <v>0.51954889362234202</v>
      </c>
      <c r="BB110" s="8">
        <f t="shared" si="13"/>
        <v>2.0914419054127654E-2</v>
      </c>
    </row>
    <row r="111" spans="1:54">
      <c r="A111" s="2">
        <v>42617</v>
      </c>
      <c r="B111" s="3">
        <v>0.79452363681229032</v>
      </c>
      <c r="C111" s="3">
        <v>0.81983777678033909</v>
      </c>
      <c r="D111" s="3">
        <v>0.73708819318730545</v>
      </c>
      <c r="E111" s="3">
        <v>0.68326905527204185</v>
      </c>
      <c r="F111" s="3">
        <v>0.73942815570536036</v>
      </c>
      <c r="G111" s="3">
        <v>0.8004799050400665</v>
      </c>
      <c r="H111" s="3">
        <v>0.83430299961922416</v>
      </c>
      <c r="I111" s="3">
        <v>0.8004799050400665</v>
      </c>
      <c r="J111" s="3">
        <v>0.75325520694841219</v>
      </c>
      <c r="K111" s="3">
        <v>0.71198677708453428</v>
      </c>
      <c r="L111" s="3">
        <v>0.82217773929839411</v>
      </c>
      <c r="M111" s="3">
        <v>0.71177405321925657</v>
      </c>
      <c r="N111" s="3">
        <v>0.7683586013831305</v>
      </c>
      <c r="O111" s="3">
        <v>0.76325322861646527</v>
      </c>
      <c r="P111" s="3">
        <v>0.75431882627480096</v>
      </c>
      <c r="Q111" s="3">
        <v>0.76630227068544587</v>
      </c>
      <c r="R111" s="3">
        <v>4.5091916427882024E-2</v>
      </c>
      <c r="T111" s="3">
        <f t="shared" ref="T111:AG111" si="114">T57/47.0093</f>
        <v>0.45714358648182374</v>
      </c>
      <c r="U111" s="3">
        <f t="shared" si="114"/>
        <v>0.47054518999432027</v>
      </c>
      <c r="V111" s="3">
        <f t="shared" si="114"/>
        <v>0.47288515251237517</v>
      </c>
      <c r="W111" s="3">
        <f t="shared" si="114"/>
        <v>0.4369348192804402</v>
      </c>
      <c r="X111" s="3">
        <f t="shared" si="114"/>
        <v>0.45374000463738018</v>
      </c>
      <c r="Y111" s="3">
        <f t="shared" si="114"/>
        <v>0.46139806378737824</v>
      </c>
      <c r="Z111" s="3">
        <f t="shared" si="114"/>
        <v>0.44927280346654808</v>
      </c>
      <c r="AA111" s="3">
        <f t="shared" si="114"/>
        <v>0.4369348192804402</v>
      </c>
      <c r="AB111" s="3">
        <f t="shared" si="114"/>
        <v>0.4369348192804402</v>
      </c>
      <c r="AC111" s="3">
        <f t="shared" si="114"/>
        <v>0.45820720580821239</v>
      </c>
      <c r="AD111" s="3">
        <f t="shared" si="114"/>
        <v>0.45863265353876781</v>
      </c>
      <c r="AE111" s="3">
        <f t="shared" si="114"/>
        <v>0.45586724329015743</v>
      </c>
      <c r="AF111" s="3">
        <f t="shared" si="114"/>
        <v>0.45820720580821239</v>
      </c>
      <c r="AG111" s="3">
        <f t="shared" si="114"/>
        <v>0.41268429863877992</v>
      </c>
      <c r="AH111" s="3">
        <f t="shared" si="9"/>
        <v>0.45138484755751968</v>
      </c>
      <c r="AI111" s="3">
        <f t="shared" si="10"/>
        <v>1.5842180913645604E-2</v>
      </c>
      <c r="AK111" s="9">
        <v>42617</v>
      </c>
      <c r="AL111" s="8">
        <f>AL57/47.0093</f>
        <v>0.50075197886375666</v>
      </c>
      <c r="AM111" s="8">
        <f t="shared" ref="AM111:AZ111" si="115">AM57/47.0093</f>
        <v>0.47054518999432027</v>
      </c>
      <c r="AN111" s="8">
        <f t="shared" si="115"/>
        <v>0.53670231209569164</v>
      </c>
      <c r="AO111" s="8">
        <f t="shared" si="115"/>
        <v>0.51287723918458683</v>
      </c>
      <c r="AP111" s="8">
        <f t="shared" si="115"/>
        <v>0.52436432790958376</v>
      </c>
      <c r="AQ111" s="8">
        <f t="shared" si="115"/>
        <v>0.45820720580821239</v>
      </c>
      <c r="AR111" s="8">
        <f t="shared" si="115"/>
        <v>0.48181955485403943</v>
      </c>
      <c r="AS111" s="8">
        <f t="shared" si="115"/>
        <v>0.4918175765220924</v>
      </c>
      <c r="AT111" s="8">
        <f t="shared" si="115"/>
        <v>0.49841201634570176</v>
      </c>
      <c r="AU111" s="8">
        <f t="shared" si="115"/>
        <v>0.4939448151748696</v>
      </c>
      <c r="AV111" s="8">
        <f t="shared" si="115"/>
        <v>0.49798656861514634</v>
      </c>
      <c r="AW111" s="8">
        <f t="shared" si="115"/>
        <v>0.4939448151748696</v>
      </c>
      <c r="AX111" s="8">
        <f t="shared" si="115"/>
        <v>0.54074406553596843</v>
      </c>
      <c r="AY111" s="8">
        <f t="shared" si="115"/>
        <v>0.49415753904014736</v>
      </c>
      <c r="AZ111" s="8">
        <f t="shared" si="115"/>
        <v>0.49649750155820227</v>
      </c>
      <c r="BA111" s="8">
        <f t="shared" si="12"/>
        <v>0.49951818044514601</v>
      </c>
      <c r="BB111" s="8">
        <f t="shared" si="13"/>
        <v>2.2203084828303018E-2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H21" sqref="H21"/>
    </sheetView>
  </sheetViews>
  <sheetFormatPr defaultRowHeight="15"/>
  <sheetData>
    <row r="1" spans="1:26">
      <c r="A1" t="s">
        <v>436</v>
      </c>
    </row>
    <row r="2" spans="1:26">
      <c r="A2" s="4" t="s">
        <v>263</v>
      </c>
      <c r="B2" s="51" t="s">
        <v>264</v>
      </c>
      <c r="C2" s="51" t="s">
        <v>265</v>
      </c>
      <c r="D2" s="51" t="s">
        <v>266</v>
      </c>
      <c r="E2" s="51" t="s">
        <v>267</v>
      </c>
      <c r="F2" s="51" t="s">
        <v>268</v>
      </c>
      <c r="G2" s="51" t="s">
        <v>264</v>
      </c>
      <c r="H2" s="51" t="s">
        <v>265</v>
      </c>
      <c r="I2" s="51" t="s">
        <v>266</v>
      </c>
      <c r="J2" s="51" t="s">
        <v>267</v>
      </c>
      <c r="K2" s="51" t="s">
        <v>268</v>
      </c>
      <c r="L2" s="51" t="s">
        <v>264</v>
      </c>
      <c r="M2" s="51" t="s">
        <v>265</v>
      </c>
      <c r="N2" s="51" t="s">
        <v>266</v>
      </c>
      <c r="O2" s="51" t="s">
        <v>267</v>
      </c>
      <c r="P2" s="51" t="s">
        <v>268</v>
      </c>
      <c r="Q2" s="51"/>
      <c r="R2" s="51"/>
      <c r="S2" s="51"/>
      <c r="T2" s="51"/>
      <c r="U2" s="51"/>
      <c r="V2" s="51"/>
      <c r="W2" s="51"/>
      <c r="X2" s="51"/>
      <c r="Y2" s="51"/>
      <c r="Z2" s="51"/>
    </row>
    <row r="3" spans="1:26">
      <c r="B3" s="74" t="s">
        <v>269</v>
      </c>
      <c r="C3" s="74"/>
      <c r="D3" s="74"/>
      <c r="E3" s="74"/>
      <c r="F3" s="74"/>
      <c r="G3" s="74" t="s">
        <v>392</v>
      </c>
      <c r="H3" s="74"/>
      <c r="I3" s="74"/>
      <c r="J3" s="74"/>
      <c r="K3" s="74"/>
      <c r="L3" s="74" t="s">
        <v>393</v>
      </c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</row>
    <row r="4" spans="1:26">
      <c r="A4" s="4" t="s">
        <v>5</v>
      </c>
      <c r="B4">
        <v>5.8999999999999997E-2</v>
      </c>
      <c r="C4">
        <v>1.0999999999999999E-2</v>
      </c>
      <c r="D4">
        <v>5.8999999999999997E-2</v>
      </c>
      <c r="E4">
        <v>7.2999999999999995E-2</v>
      </c>
      <c r="F4">
        <v>8.5000000000000006E-2</v>
      </c>
      <c r="G4">
        <v>0.86399999999999999</v>
      </c>
      <c r="H4">
        <v>0.78600000000000003</v>
      </c>
      <c r="I4">
        <v>0.96699999999999997</v>
      </c>
      <c r="J4">
        <v>0.57599999999999996</v>
      </c>
      <c r="K4">
        <v>0.78459999999999996</v>
      </c>
      <c r="L4">
        <v>0.86899999999999999</v>
      </c>
      <c r="M4">
        <v>0.88600000000000001</v>
      </c>
      <c r="N4">
        <v>0.69299999999999995</v>
      </c>
      <c r="O4">
        <v>0.78300000000000003</v>
      </c>
      <c r="P4">
        <v>0.59299999999999997</v>
      </c>
    </row>
    <row r="5" spans="1:26">
      <c r="A5" s="4" t="s">
        <v>6</v>
      </c>
      <c r="B5">
        <v>2.8000000000000001E-2</v>
      </c>
      <c r="C5">
        <v>9.4E-2</v>
      </c>
      <c r="D5">
        <v>1.0999999999999999E-2</v>
      </c>
      <c r="E5">
        <v>4.4999999999999998E-2</v>
      </c>
      <c r="F5">
        <v>0.122</v>
      </c>
      <c r="G5">
        <v>0.86399999999999999</v>
      </c>
      <c r="H5">
        <v>0.55900000000000005</v>
      </c>
      <c r="I5">
        <v>0.86299999999999999</v>
      </c>
      <c r="J5">
        <v>0.59599999999999997</v>
      </c>
      <c r="K5">
        <v>0.78400000000000003</v>
      </c>
      <c r="L5">
        <v>0.66800000000000004</v>
      </c>
      <c r="M5">
        <v>0.78400000000000003</v>
      </c>
      <c r="N5">
        <v>0.39500000000000002</v>
      </c>
      <c r="O5">
        <v>0.86899999999999999</v>
      </c>
      <c r="P5">
        <v>0.78449999999999998</v>
      </c>
    </row>
    <row r="6" spans="1:26">
      <c r="A6" s="4" t="s">
        <v>218</v>
      </c>
      <c r="B6">
        <v>0.85899999999999999</v>
      </c>
      <c r="C6">
        <v>0.55600000000000005</v>
      </c>
      <c r="D6">
        <v>0.58599999999999997</v>
      </c>
      <c r="E6">
        <v>0.89400000000000002</v>
      </c>
      <c r="F6">
        <v>0.95</v>
      </c>
      <c r="G6">
        <v>6.8000000000000005E-2</v>
      </c>
      <c r="H6">
        <v>5.6000000000000001E-2</v>
      </c>
      <c r="I6">
        <v>8.5000000000000006E-2</v>
      </c>
      <c r="J6">
        <v>3.7999999999999999E-2</v>
      </c>
      <c r="K6">
        <v>6.6000000000000003E-2</v>
      </c>
      <c r="L6">
        <v>3.7999999999999999E-2</v>
      </c>
      <c r="M6">
        <v>0.122</v>
      </c>
      <c r="N6">
        <v>0.13400000000000001</v>
      </c>
      <c r="O6">
        <v>0.13900000000000001</v>
      </c>
      <c r="P6">
        <v>0.17299999999999999</v>
      </c>
    </row>
    <row r="7" spans="1:26">
      <c r="A7" s="4" t="s">
        <v>52</v>
      </c>
      <c r="B7">
        <v>0.89500000000000002</v>
      </c>
      <c r="C7">
        <v>0.79400000000000004</v>
      </c>
      <c r="D7">
        <v>0.68899999999999995</v>
      </c>
      <c r="E7">
        <v>0.96699999999999997</v>
      </c>
      <c r="F7">
        <v>0.69699999999999995</v>
      </c>
      <c r="G7">
        <v>8.3000000000000004E-2</v>
      </c>
      <c r="H7">
        <v>6.8000000000000005E-2</v>
      </c>
      <c r="I7">
        <v>8.5999999999999993E-2</v>
      </c>
      <c r="J7">
        <v>4.9500000000000002E-2</v>
      </c>
      <c r="K7">
        <v>0.124</v>
      </c>
      <c r="L7">
        <v>8.4000000000000005E-2</v>
      </c>
      <c r="M7">
        <v>0.124</v>
      </c>
      <c r="N7">
        <v>0.114</v>
      </c>
      <c r="O7">
        <v>8.3000000000000004E-2</v>
      </c>
      <c r="P7">
        <v>3.5000000000000003E-2</v>
      </c>
    </row>
  </sheetData>
  <mergeCells count="5">
    <mergeCell ref="B3:F3"/>
    <mergeCell ref="G3:K3"/>
    <mergeCell ref="L3:P3"/>
    <mergeCell ref="Q3:U3"/>
    <mergeCell ref="V3:Z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"/>
  <sheetViews>
    <sheetView workbookViewId="0">
      <selection activeCell="F2" sqref="F2:H2"/>
    </sheetView>
  </sheetViews>
  <sheetFormatPr defaultRowHeight="15"/>
  <cols>
    <col min="1" max="1" width="38.42578125" customWidth="1"/>
    <col min="2" max="2" width="12.5703125" customWidth="1"/>
    <col min="11" max="11" width="12.7109375" bestFit="1" customWidth="1"/>
  </cols>
  <sheetData>
    <row r="1" spans="1:19">
      <c r="A1" t="s">
        <v>400</v>
      </c>
    </row>
    <row r="2" spans="1:19">
      <c r="A2" s="4" t="s">
        <v>256</v>
      </c>
      <c r="B2" s="72" t="s">
        <v>242</v>
      </c>
      <c r="C2" s="72"/>
      <c r="D2" s="72"/>
      <c r="F2" s="72" t="s">
        <v>459</v>
      </c>
      <c r="G2" s="72"/>
      <c r="H2" s="72"/>
      <c r="J2" s="54" t="s">
        <v>208</v>
      </c>
      <c r="N2" t="s">
        <v>243</v>
      </c>
      <c r="O2" t="s">
        <v>244</v>
      </c>
      <c r="Q2" t="s">
        <v>245</v>
      </c>
      <c r="S2" t="s">
        <v>246</v>
      </c>
    </row>
    <row r="3" spans="1:19">
      <c r="B3" t="s">
        <v>247</v>
      </c>
      <c r="C3" t="s">
        <v>248</v>
      </c>
      <c r="D3" t="s">
        <v>249</v>
      </c>
      <c r="F3" t="s">
        <v>250</v>
      </c>
      <c r="G3" t="s">
        <v>248</v>
      </c>
      <c r="H3" t="s">
        <v>249</v>
      </c>
    </row>
    <row r="4" spans="1:19">
      <c r="A4" s="51" t="s">
        <v>251</v>
      </c>
    </row>
    <row r="5" spans="1:19">
      <c r="A5" t="s">
        <v>5</v>
      </c>
      <c r="B5">
        <v>25.585999999999999</v>
      </c>
      <c r="C5">
        <v>25.113</v>
      </c>
      <c r="D5">
        <v>25.57</v>
      </c>
      <c r="F5">
        <v>19.375</v>
      </c>
      <c r="G5">
        <v>19.280999999999999</v>
      </c>
      <c r="H5">
        <v>19.582999999999998</v>
      </c>
      <c r="J5">
        <f>B5-F5</f>
        <v>6.2109999999999985</v>
      </c>
      <c r="K5">
        <f>C5-G5</f>
        <v>5.8320000000000007</v>
      </c>
      <c r="L5">
        <f>D5-H5</f>
        <v>5.9870000000000019</v>
      </c>
      <c r="N5">
        <f>AVERAGE(L5,J5)</f>
        <v>6.0990000000000002</v>
      </c>
      <c r="O5">
        <f>STDEV(J5,L5)</f>
        <v>0.15839191898578428</v>
      </c>
      <c r="Q5">
        <f>N5-N5</f>
        <v>0</v>
      </c>
      <c r="S5">
        <f>POWER(2,-Q5)</f>
        <v>1</v>
      </c>
    </row>
    <row r="6" spans="1:19">
      <c r="A6" t="s">
        <v>6</v>
      </c>
      <c r="B6">
        <v>27.484999999999999</v>
      </c>
      <c r="C6">
        <v>27.154</v>
      </c>
      <c r="D6">
        <v>27.835000000000001</v>
      </c>
      <c r="F6">
        <v>19.843</v>
      </c>
      <c r="G6">
        <v>19.542000000000002</v>
      </c>
      <c r="H6">
        <v>19.945</v>
      </c>
      <c r="J6">
        <f t="shared" ref="J6:L7" si="0">B6-F6</f>
        <v>7.6419999999999995</v>
      </c>
      <c r="K6">
        <f t="shared" si="0"/>
        <v>7.6119999999999983</v>
      </c>
      <c r="L6">
        <f t="shared" si="0"/>
        <v>7.8900000000000006</v>
      </c>
      <c r="N6">
        <f t="shared" ref="N6:N7" si="1">AVERAGE(J6:L6)</f>
        <v>7.7146666666666661</v>
      </c>
      <c r="O6">
        <f t="shared" ref="O6:O7" si="2">STDEV(J6:L6)</f>
        <v>0.15258221827373478</v>
      </c>
      <c r="Q6">
        <f>N6-N5</f>
        <v>1.6156666666666659</v>
      </c>
      <c r="S6">
        <f t="shared" ref="S6:S7" si="3">POWER(2,-Q6)</f>
        <v>0.32631412278438288</v>
      </c>
    </row>
    <row r="7" spans="1:19">
      <c r="A7" t="s">
        <v>218</v>
      </c>
      <c r="B7">
        <v>28.745000000000001</v>
      </c>
      <c r="C7">
        <v>28.574000000000002</v>
      </c>
      <c r="D7">
        <v>28.449000000000002</v>
      </c>
      <c r="F7">
        <v>18.628</v>
      </c>
      <c r="G7">
        <v>18.373999999999999</v>
      </c>
      <c r="H7">
        <v>18.742999999999999</v>
      </c>
      <c r="J7">
        <f t="shared" si="0"/>
        <v>10.117000000000001</v>
      </c>
      <c r="K7">
        <f t="shared" si="0"/>
        <v>10.200000000000003</v>
      </c>
      <c r="L7">
        <f t="shared" si="0"/>
        <v>9.7060000000000031</v>
      </c>
      <c r="N7">
        <f t="shared" si="1"/>
        <v>10.007666666666669</v>
      </c>
      <c r="O7">
        <f t="shared" si="2"/>
        <v>0.26452662121860826</v>
      </c>
      <c r="Q7">
        <f>N7-N5</f>
        <v>3.9086666666666687</v>
      </c>
      <c r="S7">
        <f t="shared" si="3"/>
        <v>6.6584645254668035E-2</v>
      </c>
    </row>
    <row r="8" spans="1:19">
      <c r="A8" t="s">
        <v>52</v>
      </c>
      <c r="B8">
        <v>29.484999999999999</v>
      </c>
      <c r="C8">
        <v>29.184000000000001</v>
      </c>
      <c r="D8">
        <v>29.884</v>
      </c>
      <c r="F8">
        <v>18.224</v>
      </c>
      <c r="G8">
        <v>18.573</v>
      </c>
      <c r="H8">
        <v>18.821999999999999</v>
      </c>
      <c r="J8">
        <f>B8-F8</f>
        <v>11.260999999999999</v>
      </c>
      <c r="K8">
        <f>C8-G8</f>
        <v>10.611000000000001</v>
      </c>
      <c r="L8">
        <f>D8-H8</f>
        <v>11.062000000000001</v>
      </c>
      <c r="N8">
        <f>AVERAGE(L8,J8)</f>
        <v>11.1615</v>
      </c>
      <c r="O8">
        <f>STDEV(J8,L8)</f>
        <v>0.1407142494561216</v>
      </c>
      <c r="Q8">
        <f>N8-N5</f>
        <v>5.0625</v>
      </c>
      <c r="S8">
        <f>POWER(2,-Q8)</f>
        <v>2.9925102521830435E-2</v>
      </c>
    </row>
    <row r="10" spans="1:19">
      <c r="A10" s="51" t="s">
        <v>252</v>
      </c>
    </row>
    <row r="11" spans="1:19">
      <c r="A11" t="s">
        <v>5</v>
      </c>
      <c r="B11">
        <v>27.582999999999998</v>
      </c>
      <c r="C11">
        <v>27.475000000000001</v>
      </c>
      <c r="D11">
        <v>27.594000000000001</v>
      </c>
      <c r="F11">
        <v>18.440000000000001</v>
      </c>
      <c r="G11">
        <v>18.734000000000002</v>
      </c>
      <c r="H11">
        <v>18.943999999999999</v>
      </c>
      <c r="J11">
        <f>B11-F11</f>
        <v>9.1429999999999971</v>
      </c>
      <c r="K11">
        <f>C11-G11</f>
        <v>8.7409999999999997</v>
      </c>
      <c r="L11">
        <f>D11-H11</f>
        <v>8.6500000000000021</v>
      </c>
      <c r="N11">
        <f>AVERAGE(L11,J11)</f>
        <v>8.8964999999999996</v>
      </c>
      <c r="O11">
        <f>STDEV(J11,L11)</f>
        <v>0.34860364312496439</v>
      </c>
      <c r="Q11">
        <f>N11-N11</f>
        <v>0</v>
      </c>
      <c r="S11">
        <f>POWER(2,-Q11)</f>
        <v>1</v>
      </c>
    </row>
    <row r="12" spans="1:19">
      <c r="A12" t="s">
        <v>6</v>
      </c>
      <c r="B12">
        <v>28.443000000000001</v>
      </c>
      <c r="C12">
        <v>28.198</v>
      </c>
      <c r="D12">
        <v>28.582999999999998</v>
      </c>
      <c r="F12">
        <v>17.344999999999999</v>
      </c>
      <c r="G12">
        <v>17.834</v>
      </c>
      <c r="H12">
        <v>17.495000000000001</v>
      </c>
      <c r="J12">
        <f t="shared" ref="J12:L13" si="4">B12-F12</f>
        <v>11.098000000000003</v>
      </c>
      <c r="K12">
        <f t="shared" si="4"/>
        <v>10.364000000000001</v>
      </c>
      <c r="L12">
        <f t="shared" si="4"/>
        <v>11.087999999999997</v>
      </c>
      <c r="N12">
        <f t="shared" ref="N12:N13" si="5">AVERAGE(J12:L12)</f>
        <v>10.85</v>
      </c>
      <c r="O12">
        <f t="shared" ref="O12:O13" si="6">STDEV(J12:L12)</f>
        <v>0.4209180442794056</v>
      </c>
      <c r="Q12">
        <f>N12-N11</f>
        <v>1.9535</v>
      </c>
      <c r="S12">
        <f t="shared" ref="S12:S13" si="7">POWER(2,-Q12)</f>
        <v>0.25818909988995525</v>
      </c>
    </row>
    <row r="13" spans="1:19">
      <c r="A13" t="s">
        <v>218</v>
      </c>
      <c r="B13">
        <v>27.885000000000002</v>
      </c>
      <c r="C13">
        <v>27.395</v>
      </c>
      <c r="D13">
        <v>27.581</v>
      </c>
      <c r="F13">
        <v>18.337</v>
      </c>
      <c r="G13">
        <v>18.234999999999999</v>
      </c>
      <c r="H13">
        <v>18.123999999999999</v>
      </c>
      <c r="J13">
        <f t="shared" si="4"/>
        <v>9.5480000000000018</v>
      </c>
      <c r="K13">
        <f t="shared" si="4"/>
        <v>9.16</v>
      </c>
      <c r="L13">
        <f t="shared" si="4"/>
        <v>9.4570000000000007</v>
      </c>
      <c r="N13">
        <f t="shared" si="5"/>
        <v>9.3883333333333336</v>
      </c>
      <c r="O13">
        <f t="shared" si="6"/>
        <v>0.20290966791489667</v>
      </c>
      <c r="Q13">
        <f>N13-N11</f>
        <v>0.49183333333333401</v>
      </c>
      <c r="S13">
        <f t="shared" si="7"/>
        <v>0.71112085245085876</v>
      </c>
    </row>
    <row r="14" spans="1:19">
      <c r="A14" t="s">
        <v>52</v>
      </c>
      <c r="B14">
        <v>29.582999999999998</v>
      </c>
      <c r="C14">
        <v>29.114999999999998</v>
      </c>
      <c r="D14">
        <v>29.582999999999998</v>
      </c>
      <c r="F14">
        <v>17.623999999999999</v>
      </c>
      <c r="G14">
        <v>17.295000000000002</v>
      </c>
      <c r="H14">
        <v>17.484999999999999</v>
      </c>
      <c r="J14">
        <f>B14-F14</f>
        <v>11.959</v>
      </c>
      <c r="K14">
        <f>C14-G14</f>
        <v>11.819999999999997</v>
      </c>
      <c r="L14">
        <f>D14-H14</f>
        <v>12.097999999999999</v>
      </c>
      <c r="N14">
        <f>AVERAGE(L14,J14)</f>
        <v>12.028499999999999</v>
      </c>
      <c r="O14">
        <f>STDEV(J14,L14)</f>
        <v>9.8287842584929647E-2</v>
      </c>
      <c r="Q14">
        <f>N14-N11</f>
        <v>3.1319999999999997</v>
      </c>
      <c r="S14">
        <f>POWER(2,-Q14)</f>
        <v>0.1140706860679315</v>
      </c>
    </row>
    <row r="16" spans="1:19">
      <c r="A16" s="51" t="s">
        <v>253</v>
      </c>
    </row>
    <row r="17" spans="1:20">
      <c r="A17" t="s">
        <v>5</v>
      </c>
      <c r="B17">
        <v>25.882999999999999</v>
      </c>
      <c r="C17">
        <v>25.984000000000002</v>
      </c>
      <c r="D17">
        <v>25.193999999999999</v>
      </c>
      <c r="F17">
        <v>18.734000000000002</v>
      </c>
      <c r="G17">
        <v>18.523</v>
      </c>
      <c r="H17">
        <v>18.823</v>
      </c>
      <c r="J17">
        <f>B17-F17</f>
        <v>7.1489999999999974</v>
      </c>
      <c r="K17">
        <f>C17-G17</f>
        <v>7.4610000000000021</v>
      </c>
      <c r="L17">
        <f>D17-H17</f>
        <v>6.3709999999999987</v>
      </c>
      <c r="N17">
        <f>AVERAGE(L17,J17)</f>
        <v>6.759999999999998</v>
      </c>
      <c r="O17">
        <f>STDEV(J17,L17)</f>
        <v>0.55012907576313308</v>
      </c>
      <c r="Q17">
        <f>N17-N17</f>
        <v>0</v>
      </c>
      <c r="S17">
        <f>POWER(2,-Q17)</f>
        <v>1</v>
      </c>
    </row>
    <row r="18" spans="1:20">
      <c r="A18" t="s">
        <v>6</v>
      </c>
      <c r="B18">
        <v>26.573</v>
      </c>
      <c r="C18">
        <v>26.184000000000001</v>
      </c>
      <c r="D18">
        <v>26.943999999999999</v>
      </c>
      <c r="F18">
        <v>17.623999999999999</v>
      </c>
      <c r="G18">
        <v>17.437999999999999</v>
      </c>
      <c r="H18">
        <v>17.385000000000002</v>
      </c>
      <c r="J18">
        <f t="shared" ref="J18:L19" si="8">B18-F18</f>
        <v>8.9490000000000016</v>
      </c>
      <c r="K18">
        <f t="shared" si="8"/>
        <v>8.7460000000000022</v>
      </c>
      <c r="L18">
        <f t="shared" si="8"/>
        <v>9.5589999999999975</v>
      </c>
      <c r="N18">
        <f t="shared" ref="N18:N19" si="9">AVERAGE(J18:L18)</f>
        <v>9.0846666666666671</v>
      </c>
      <c r="O18">
        <f t="shared" ref="O18:O19" si="10">STDEV(J18:L18)</f>
        <v>0.42313866915389708</v>
      </c>
      <c r="Q18">
        <f>N18-N17</f>
        <v>2.3246666666666691</v>
      </c>
      <c r="S18">
        <f t="shared" ref="S18:S19" si="11">POWER(2,-Q18)</f>
        <v>0.19962071343956347</v>
      </c>
    </row>
    <row r="19" spans="1:20">
      <c r="A19" t="s">
        <v>218</v>
      </c>
      <c r="B19">
        <v>26.835000000000001</v>
      </c>
      <c r="C19">
        <v>26.295000000000002</v>
      </c>
      <c r="D19">
        <v>26.844999999999999</v>
      </c>
      <c r="F19">
        <v>17.885000000000002</v>
      </c>
      <c r="G19">
        <v>17.626999999999999</v>
      </c>
      <c r="H19">
        <v>17.285</v>
      </c>
      <c r="J19">
        <f t="shared" si="8"/>
        <v>8.9499999999999993</v>
      </c>
      <c r="K19">
        <f t="shared" si="8"/>
        <v>8.6680000000000028</v>
      </c>
      <c r="L19">
        <f t="shared" si="8"/>
        <v>9.5599999999999987</v>
      </c>
      <c r="N19">
        <f t="shared" si="9"/>
        <v>9.059333333333333</v>
      </c>
      <c r="O19">
        <f t="shared" si="10"/>
        <v>0.45594005453933489</v>
      </c>
      <c r="Q19">
        <f>N19-N17</f>
        <v>2.299333333333335</v>
      </c>
      <c r="S19">
        <f t="shared" si="11"/>
        <v>0.20315695584931101</v>
      </c>
    </row>
    <row r="20" spans="1:20">
      <c r="A20" t="s">
        <v>52</v>
      </c>
      <c r="B20">
        <v>28.475000000000001</v>
      </c>
      <c r="C20">
        <v>28.155000000000001</v>
      </c>
      <c r="D20">
        <v>28.457999999999998</v>
      </c>
      <c r="F20">
        <v>18.553000000000001</v>
      </c>
      <c r="G20">
        <v>18.245000000000001</v>
      </c>
      <c r="H20">
        <v>18.937999999999999</v>
      </c>
      <c r="J20">
        <f>B20-F20</f>
        <v>9.9220000000000006</v>
      </c>
      <c r="K20">
        <f>C20-G20</f>
        <v>9.91</v>
      </c>
      <c r="L20">
        <f>D20-H20</f>
        <v>9.52</v>
      </c>
      <c r="N20">
        <f>AVERAGE(L20,J20)</f>
        <v>9.7210000000000001</v>
      </c>
      <c r="O20">
        <f>STDEV(J20,L20)</f>
        <v>0.28425692603699282</v>
      </c>
      <c r="Q20">
        <f>N20-N17</f>
        <v>2.9610000000000021</v>
      </c>
      <c r="S20">
        <f>POWER(2,-Q20)</f>
        <v>0.12842517992237032</v>
      </c>
    </row>
    <row r="22" spans="1:20">
      <c r="A22" s="51" t="s">
        <v>254</v>
      </c>
    </row>
    <row r="23" spans="1:20">
      <c r="A23" t="s">
        <v>5</v>
      </c>
      <c r="B23">
        <v>26.795000000000002</v>
      </c>
      <c r="C23">
        <v>26.33</v>
      </c>
      <c r="D23">
        <v>26.954000000000001</v>
      </c>
      <c r="F23">
        <v>17.663</v>
      </c>
      <c r="G23">
        <v>17.295000000000002</v>
      </c>
      <c r="H23">
        <v>17.863</v>
      </c>
      <c r="J23">
        <f>B23-F23</f>
        <v>9.1320000000000014</v>
      </c>
      <c r="K23">
        <f>C23-G23</f>
        <v>9.0349999999999966</v>
      </c>
      <c r="L23">
        <f>D23-H23</f>
        <v>9.0910000000000011</v>
      </c>
      <c r="N23">
        <f>AVERAGE(L23,J23)</f>
        <v>9.1115000000000013</v>
      </c>
      <c r="O23">
        <f>STDEV(J23,L23)</f>
        <v>2.899137802864871E-2</v>
      </c>
      <c r="Q23">
        <f>N23-N23</f>
        <v>0</v>
      </c>
      <c r="S23">
        <f>POWER(2,-Q23)</f>
        <v>1</v>
      </c>
    </row>
    <row r="24" spans="1:20">
      <c r="A24" t="s">
        <v>6</v>
      </c>
      <c r="B24">
        <v>27.568999999999999</v>
      </c>
      <c r="C24">
        <v>27.119</v>
      </c>
      <c r="D24">
        <v>27.847000000000001</v>
      </c>
      <c r="F24">
        <v>16.285</v>
      </c>
      <c r="G24">
        <v>16.297999999999998</v>
      </c>
      <c r="H24">
        <v>16.952999999999999</v>
      </c>
      <c r="J24">
        <f t="shared" ref="J24:L25" si="12">B24-F24</f>
        <v>11.283999999999999</v>
      </c>
      <c r="K24">
        <f t="shared" si="12"/>
        <v>10.821000000000002</v>
      </c>
      <c r="L24">
        <f t="shared" si="12"/>
        <v>10.894000000000002</v>
      </c>
      <c r="N24">
        <f t="shared" ref="N24:N25" si="13">AVERAGE(J24:L24)</f>
        <v>10.999666666666668</v>
      </c>
      <c r="O24">
        <f t="shared" ref="O24:O25" si="14">STDEV(J24:L24)</f>
        <v>0.24893037848629998</v>
      </c>
      <c r="Q24">
        <f>N24-N23</f>
        <v>1.8881666666666668</v>
      </c>
      <c r="S24">
        <f t="shared" ref="S24:S25" si="15">POWER(2,-Q24)</f>
        <v>0.27015013973911972</v>
      </c>
    </row>
    <row r="25" spans="1:20">
      <c r="A25" t="s">
        <v>218</v>
      </c>
      <c r="B25">
        <v>28.844999999999999</v>
      </c>
      <c r="C25">
        <v>28.542999999999999</v>
      </c>
      <c r="D25">
        <v>28.341000000000001</v>
      </c>
      <c r="F25">
        <v>17.622</v>
      </c>
      <c r="G25">
        <v>17.114999999999998</v>
      </c>
      <c r="H25">
        <v>17.844999999999999</v>
      </c>
      <c r="J25">
        <f t="shared" si="12"/>
        <v>11.222999999999999</v>
      </c>
      <c r="K25">
        <f t="shared" si="12"/>
        <v>11.428000000000001</v>
      </c>
      <c r="L25">
        <f t="shared" si="12"/>
        <v>10.496000000000002</v>
      </c>
      <c r="N25">
        <f t="shared" si="13"/>
        <v>11.049000000000001</v>
      </c>
      <c r="O25">
        <f t="shared" si="14"/>
        <v>0.48975810355725496</v>
      </c>
      <c r="Q25">
        <f>N25-N23</f>
        <v>1.9375</v>
      </c>
      <c r="S25">
        <f t="shared" si="15"/>
        <v>0.26106844560685344</v>
      </c>
    </row>
    <row r="26" spans="1:20">
      <c r="A26" t="s">
        <v>52</v>
      </c>
      <c r="B26">
        <v>29.882000000000001</v>
      </c>
      <c r="C26">
        <v>29.183</v>
      </c>
      <c r="D26">
        <v>29.8443</v>
      </c>
      <c r="F26">
        <v>17.626999999999999</v>
      </c>
      <c r="G26">
        <v>17.523</v>
      </c>
      <c r="H26">
        <v>17.234999999999999</v>
      </c>
      <c r="J26">
        <f>B26-F26</f>
        <v>12.255000000000003</v>
      </c>
      <c r="K26">
        <f>C26-G26</f>
        <v>11.66</v>
      </c>
      <c r="L26">
        <f>D26-H26</f>
        <v>12.609300000000001</v>
      </c>
      <c r="N26">
        <f>AVERAGE(L26,J26)</f>
        <v>12.432150000000002</v>
      </c>
      <c r="O26">
        <f>STDEV(J26,L26)</f>
        <v>0.25052793257439271</v>
      </c>
      <c r="Q26">
        <f>N26-N23</f>
        <v>3.3206500000000005</v>
      </c>
      <c r="S26">
        <f>POWER(2,-Q26)</f>
        <v>0.10008863003999451</v>
      </c>
    </row>
    <row r="28" spans="1:20">
      <c r="A28" s="51" t="s">
        <v>255</v>
      </c>
    </row>
    <row r="29" spans="1:20">
      <c r="A29" t="s">
        <v>5</v>
      </c>
      <c r="B29" s="55">
        <v>26.338999999999999</v>
      </c>
      <c r="C29" s="55">
        <v>26.722000000000001</v>
      </c>
      <c r="D29" s="55">
        <v>26.294</v>
      </c>
      <c r="F29">
        <v>16.283999999999999</v>
      </c>
      <c r="G29">
        <v>16.294</v>
      </c>
      <c r="H29">
        <v>16.937999999999999</v>
      </c>
      <c r="J29">
        <f>B29-F29</f>
        <v>10.055</v>
      </c>
      <c r="K29">
        <f>C29-G29</f>
        <v>10.428000000000001</v>
      </c>
      <c r="L29">
        <f>D29-H29</f>
        <v>9.3560000000000016</v>
      </c>
      <c r="N29">
        <f>AVERAGE(L29,J29)</f>
        <v>9.7055000000000007</v>
      </c>
      <c r="O29">
        <f>STDEV(J29,L29)</f>
        <v>0.49426764004939533</v>
      </c>
      <c r="Q29">
        <f>N29-N29</f>
        <v>0</v>
      </c>
      <c r="S29">
        <f>POWER(2,-Q29)</f>
        <v>1</v>
      </c>
    </row>
    <row r="30" spans="1:20">
      <c r="A30" t="s">
        <v>6</v>
      </c>
      <c r="B30" s="55">
        <v>28.722000000000001</v>
      </c>
      <c r="C30" s="55">
        <v>28.754000000000001</v>
      </c>
      <c r="D30" s="55">
        <v>28.173999999999999</v>
      </c>
      <c r="F30">
        <v>17.239000000000001</v>
      </c>
      <c r="G30">
        <v>17.395</v>
      </c>
      <c r="H30">
        <v>17.228999999999999</v>
      </c>
      <c r="J30">
        <f t="shared" ref="J30:L31" si="16">B30-F30</f>
        <v>11.483000000000001</v>
      </c>
      <c r="K30">
        <f t="shared" si="16"/>
        <v>11.359000000000002</v>
      </c>
      <c r="L30">
        <f t="shared" si="16"/>
        <v>10.945</v>
      </c>
      <c r="N30">
        <f t="shared" ref="N30:N31" si="17">AVERAGE(J30:L30)</f>
        <v>11.262333333333336</v>
      </c>
      <c r="O30">
        <f t="shared" ref="O30:O31" si="18">STDEV(J30:L30)</f>
        <v>0.28172563485301355</v>
      </c>
      <c r="Q30">
        <f>N30-N29</f>
        <v>1.5568333333333353</v>
      </c>
      <c r="S30">
        <f t="shared" ref="S30:S31" si="19">POWER(2,-Q30)</f>
        <v>0.33989632457183411</v>
      </c>
    </row>
    <row r="31" spans="1:20">
      <c r="A31" t="s">
        <v>218</v>
      </c>
      <c r="B31" s="55">
        <v>26.663</v>
      </c>
      <c r="C31" s="55">
        <v>26.385000000000002</v>
      </c>
      <c r="D31" s="55">
        <v>26.593</v>
      </c>
      <c r="E31" s="55"/>
      <c r="F31" s="55">
        <v>16.792000000000002</v>
      </c>
      <c r="G31" s="55">
        <v>16.245999999999999</v>
      </c>
      <c r="H31" s="55">
        <v>16.338999999999999</v>
      </c>
      <c r="I31" s="55"/>
      <c r="J31" s="55">
        <f t="shared" si="16"/>
        <v>9.8709999999999987</v>
      </c>
      <c r="K31" s="55">
        <f t="shared" si="16"/>
        <v>10.139000000000003</v>
      </c>
      <c r="L31" s="55">
        <f t="shared" si="16"/>
        <v>10.254000000000001</v>
      </c>
      <c r="M31" s="55"/>
      <c r="N31" s="55">
        <f t="shared" si="17"/>
        <v>10.088000000000001</v>
      </c>
      <c r="O31" s="55">
        <f t="shared" si="18"/>
        <v>0.19652735178595537</v>
      </c>
      <c r="P31" s="55"/>
      <c r="Q31" s="55">
        <f>N31-N29</f>
        <v>0.38250000000000028</v>
      </c>
      <c r="R31" s="55"/>
      <c r="S31" s="55">
        <f t="shared" si="19"/>
        <v>0.7671071428486268</v>
      </c>
      <c r="T31" s="55"/>
    </row>
    <row r="32" spans="1:20">
      <c r="A32" t="s">
        <v>52</v>
      </c>
      <c r="B32" s="55">
        <v>28.885000000000002</v>
      </c>
      <c r="C32" s="55">
        <v>28.183</v>
      </c>
      <c r="D32" s="55">
        <v>28.783999999999999</v>
      </c>
      <c r="E32" s="55"/>
      <c r="F32" s="55">
        <v>17.523</v>
      </c>
      <c r="G32" s="55">
        <v>17.395</v>
      </c>
      <c r="H32" s="55">
        <v>17.884</v>
      </c>
      <c r="I32" s="55"/>
      <c r="J32" s="55">
        <f>B32-F32</f>
        <v>11.362000000000002</v>
      </c>
      <c r="K32" s="55">
        <f>C32-G32</f>
        <v>10.788</v>
      </c>
      <c r="L32" s="55">
        <f>D32-H32</f>
        <v>10.899999999999999</v>
      </c>
      <c r="M32" s="55"/>
      <c r="N32" s="55">
        <f>AVERAGE(L32,J32)</f>
        <v>11.131</v>
      </c>
      <c r="O32" s="55">
        <f>STDEV(J32,L32)</f>
        <v>0.3266833329081873</v>
      </c>
      <c r="P32" s="55"/>
      <c r="Q32" s="55">
        <f>N32-N29</f>
        <v>1.4254999999999995</v>
      </c>
      <c r="R32" s="55"/>
      <c r="S32" s="55">
        <f>POWER(2,-Q32)</f>
        <v>0.3722903174276545</v>
      </c>
      <c r="T32" s="55"/>
    </row>
    <row r="33" spans="1:20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</row>
    <row r="34" spans="1:20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</row>
    <row r="35" spans="1:20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</row>
    <row r="36" spans="1:20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</row>
    <row r="37" spans="1:20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</row>
    <row r="38" spans="1:20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</row>
    <row r="39" spans="1:20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</row>
    <row r="40" spans="1:2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</row>
  </sheetData>
  <mergeCells count="2">
    <mergeCell ref="B2:D2"/>
    <mergeCell ref="F2:H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workbookViewId="0">
      <selection activeCell="F2" sqref="F2:H2"/>
    </sheetView>
  </sheetViews>
  <sheetFormatPr defaultRowHeight="15"/>
  <cols>
    <col min="1" max="1" width="38.42578125" customWidth="1"/>
    <col min="2" max="2" width="12.5703125" customWidth="1"/>
    <col min="11" max="11" width="12.7109375" bestFit="1" customWidth="1"/>
  </cols>
  <sheetData>
    <row r="1" spans="1:19">
      <c r="A1" t="s">
        <v>401</v>
      </c>
    </row>
    <row r="2" spans="1:19">
      <c r="B2" s="72" t="s">
        <v>207</v>
      </c>
      <c r="C2" s="72"/>
      <c r="D2" s="72"/>
      <c r="F2" s="72" t="s">
        <v>459</v>
      </c>
      <c r="G2" s="72"/>
      <c r="H2" s="72"/>
      <c r="J2" s="54" t="s">
        <v>208</v>
      </c>
      <c r="N2" t="s">
        <v>257</v>
      </c>
      <c r="O2" t="s">
        <v>184</v>
      </c>
      <c r="Q2" t="s">
        <v>211</v>
      </c>
      <c r="S2" t="s">
        <v>212</v>
      </c>
    </row>
    <row r="3" spans="1:19">
      <c r="A3" s="4" t="s">
        <v>258</v>
      </c>
      <c r="B3" t="s">
        <v>213</v>
      </c>
      <c r="C3" t="s">
        <v>214</v>
      </c>
      <c r="D3" t="s">
        <v>215</v>
      </c>
      <c r="F3" t="s">
        <v>216</v>
      </c>
      <c r="G3" t="s">
        <v>214</v>
      </c>
      <c r="H3" t="s">
        <v>215</v>
      </c>
    </row>
    <row r="4" spans="1:19">
      <c r="A4" s="51" t="s">
        <v>217</v>
      </c>
    </row>
    <row r="5" spans="1:19">
      <c r="A5" t="s">
        <v>5</v>
      </c>
      <c r="B5">
        <v>27.385000000000002</v>
      </c>
      <c r="C5">
        <v>27.184000000000001</v>
      </c>
      <c r="D5">
        <v>27.195</v>
      </c>
      <c r="F5">
        <v>18.119</v>
      </c>
      <c r="G5">
        <v>18.632000000000001</v>
      </c>
      <c r="H5">
        <v>18.742999999999999</v>
      </c>
      <c r="J5">
        <f>B5-F5</f>
        <v>9.2660000000000018</v>
      </c>
      <c r="K5">
        <f>C5-G5</f>
        <v>8.5519999999999996</v>
      </c>
      <c r="L5">
        <f>D5-H5</f>
        <v>8.4520000000000017</v>
      </c>
      <c r="N5">
        <f>AVERAGE(L5,J5)</f>
        <v>8.8590000000000018</v>
      </c>
      <c r="O5">
        <f>STDEV(J5,L5)</f>
        <v>0.5755849198858497</v>
      </c>
      <c r="Q5">
        <f>N5-N5</f>
        <v>0</v>
      </c>
      <c r="S5">
        <f>POWER(2,-Q5)</f>
        <v>1</v>
      </c>
    </row>
    <row r="6" spans="1:19">
      <c r="A6" t="s">
        <v>6</v>
      </c>
      <c r="B6">
        <v>28.475000000000001</v>
      </c>
      <c r="C6">
        <v>28.184000000000001</v>
      </c>
      <c r="D6">
        <v>28.446999999999999</v>
      </c>
      <c r="F6">
        <v>17.737300000000001</v>
      </c>
      <c r="G6">
        <v>17.940000000000001</v>
      </c>
      <c r="H6">
        <v>17.372</v>
      </c>
      <c r="J6">
        <f t="shared" ref="J6:L7" si="0">B6-F6</f>
        <v>10.7377</v>
      </c>
      <c r="K6">
        <f t="shared" si="0"/>
        <v>10.244</v>
      </c>
      <c r="L6">
        <f t="shared" si="0"/>
        <v>11.074999999999999</v>
      </c>
      <c r="N6">
        <f t="shared" ref="N6:N7" si="1">AVERAGE(J6:L6)</f>
        <v>10.685566666666666</v>
      </c>
      <c r="O6">
        <f t="shared" ref="O6:O7" si="2">STDEV(J6:L6)</f>
        <v>0.4179457660191489</v>
      </c>
      <c r="Q6">
        <f>N6-N5</f>
        <v>1.8265666666666647</v>
      </c>
      <c r="S6">
        <f t="shared" ref="S6:S7" si="3">POWER(2,-Q6)</f>
        <v>0.28193477331350747</v>
      </c>
    </row>
    <row r="7" spans="1:19">
      <c r="A7" t="s">
        <v>218</v>
      </c>
      <c r="B7">
        <v>28.771999999999998</v>
      </c>
      <c r="C7">
        <v>28.448</v>
      </c>
      <c r="D7">
        <v>28.353999999999999</v>
      </c>
      <c r="F7">
        <v>16.582999999999998</v>
      </c>
      <c r="G7">
        <v>16.585999999999999</v>
      </c>
      <c r="H7">
        <v>16.385000000000002</v>
      </c>
      <c r="J7">
        <f t="shared" si="0"/>
        <v>12.189</v>
      </c>
      <c r="K7">
        <f t="shared" si="0"/>
        <v>11.862000000000002</v>
      </c>
      <c r="L7">
        <f t="shared" si="0"/>
        <v>11.968999999999998</v>
      </c>
      <c r="N7">
        <f t="shared" si="1"/>
        <v>12.006666666666666</v>
      </c>
      <c r="O7">
        <f t="shared" si="2"/>
        <v>0.16672232404010315</v>
      </c>
      <c r="Q7">
        <f>N7-N5</f>
        <v>3.1476666666666642</v>
      </c>
      <c r="S7">
        <f t="shared" si="3"/>
        <v>0.1128386591873231</v>
      </c>
    </row>
    <row r="8" spans="1:19">
      <c r="A8" t="s">
        <v>52</v>
      </c>
      <c r="B8">
        <v>30.834</v>
      </c>
      <c r="C8">
        <v>30.283999999999999</v>
      </c>
      <c r="D8">
        <v>30.917999999999999</v>
      </c>
      <c r="F8">
        <v>17.821000000000002</v>
      </c>
      <c r="G8">
        <v>17.844999999999999</v>
      </c>
      <c r="H8">
        <v>17.684999999999999</v>
      </c>
      <c r="J8">
        <f>B8-F8</f>
        <v>13.012999999999998</v>
      </c>
      <c r="K8">
        <f>C8-G8</f>
        <v>12.439</v>
      </c>
      <c r="L8">
        <f>D8-H8</f>
        <v>13.233000000000001</v>
      </c>
      <c r="N8">
        <f>AVERAGE(L8,J8)</f>
        <v>13.122999999999999</v>
      </c>
      <c r="O8">
        <f>STDEV(J8,L8)</f>
        <v>0.15556349186104215</v>
      </c>
      <c r="Q8">
        <f>N8-N5</f>
        <v>4.2639999999999976</v>
      </c>
      <c r="S8">
        <f>POWER(2,-Q8)</f>
        <v>5.2048485680034395E-2</v>
      </c>
    </row>
    <row r="10" spans="1:19">
      <c r="A10" s="51" t="s">
        <v>219</v>
      </c>
    </row>
    <row r="11" spans="1:19">
      <c r="A11" t="s">
        <v>5</v>
      </c>
      <c r="B11">
        <v>25.385000000000002</v>
      </c>
      <c r="C11">
        <v>25.939</v>
      </c>
      <c r="D11">
        <v>25.233000000000001</v>
      </c>
      <c r="F11">
        <v>17.384</v>
      </c>
      <c r="G11">
        <v>17.117999999999999</v>
      </c>
      <c r="H11">
        <v>17.945</v>
      </c>
      <c r="J11">
        <f>B11-F11</f>
        <v>8.0010000000000012</v>
      </c>
      <c r="K11">
        <f>C11-G11</f>
        <v>8.8210000000000015</v>
      </c>
      <c r="L11">
        <f>D11-H11</f>
        <v>7.2880000000000003</v>
      </c>
      <c r="N11">
        <f>AVERAGE(L11,J11)</f>
        <v>7.6445000000000007</v>
      </c>
      <c r="O11">
        <f>STDEV(J11,L11)</f>
        <v>0.50416713498600907</v>
      </c>
      <c r="Q11">
        <f>N11-N11</f>
        <v>0</v>
      </c>
      <c r="S11">
        <f>POWER(2,-Q11)</f>
        <v>1</v>
      </c>
    </row>
    <row r="12" spans="1:19">
      <c r="A12" t="s">
        <v>6</v>
      </c>
      <c r="B12">
        <v>27.228999999999999</v>
      </c>
      <c r="C12">
        <v>27.984000000000002</v>
      </c>
      <c r="D12">
        <v>27.183</v>
      </c>
      <c r="F12">
        <v>18.385000000000002</v>
      </c>
      <c r="G12">
        <v>18.448</v>
      </c>
      <c r="H12">
        <v>18.038</v>
      </c>
      <c r="J12">
        <f t="shared" ref="J12:L13" si="4">B12-F12</f>
        <v>8.8439999999999976</v>
      </c>
      <c r="K12">
        <f t="shared" si="4"/>
        <v>9.5360000000000014</v>
      </c>
      <c r="L12">
        <f t="shared" si="4"/>
        <v>9.1449999999999996</v>
      </c>
      <c r="N12">
        <f t="shared" ref="N12:N13" si="5">AVERAGE(J12:L12)</f>
        <v>9.1749999999999989</v>
      </c>
      <c r="O12">
        <f t="shared" ref="O12:O13" si="6">STDEV(J12:L12)</f>
        <v>0.346974062431187</v>
      </c>
      <c r="Q12">
        <f>N12-N11</f>
        <v>1.5304999999999982</v>
      </c>
      <c r="S12">
        <f t="shared" ref="S12:S13" si="7">POWER(2,-Q12)</f>
        <v>0.3461573772312565</v>
      </c>
    </row>
    <row r="13" spans="1:19">
      <c r="A13" t="s">
        <v>218</v>
      </c>
      <c r="B13">
        <v>27.744</v>
      </c>
      <c r="C13">
        <v>27.198</v>
      </c>
      <c r="D13">
        <v>27.221</v>
      </c>
      <c r="F13">
        <v>16.384</v>
      </c>
      <c r="G13">
        <v>16.449000000000002</v>
      </c>
      <c r="H13">
        <v>16.294</v>
      </c>
      <c r="J13">
        <f t="shared" si="4"/>
        <v>11.36</v>
      </c>
      <c r="K13">
        <f t="shared" si="4"/>
        <v>10.748999999999999</v>
      </c>
      <c r="L13">
        <f t="shared" si="4"/>
        <v>10.927</v>
      </c>
      <c r="N13">
        <f t="shared" si="5"/>
        <v>11.012</v>
      </c>
      <c r="O13">
        <f t="shared" si="6"/>
        <v>0.31424353613081712</v>
      </c>
      <c r="Q13">
        <f>N13-N11</f>
        <v>3.3674999999999997</v>
      </c>
      <c r="S13">
        <f t="shared" si="7"/>
        <v>9.6890565262715486E-2</v>
      </c>
    </row>
    <row r="14" spans="1:19">
      <c r="A14" t="s">
        <v>52</v>
      </c>
      <c r="B14">
        <v>27.972999999999999</v>
      </c>
      <c r="C14">
        <v>27.948</v>
      </c>
      <c r="D14">
        <v>27.917999999999999</v>
      </c>
      <c r="F14">
        <v>17.384</v>
      </c>
      <c r="G14">
        <v>17.9283</v>
      </c>
      <c r="H14">
        <v>17.373999999999999</v>
      </c>
      <c r="J14">
        <f>B14-F14</f>
        <v>10.588999999999999</v>
      </c>
      <c r="K14">
        <f>C14-G14</f>
        <v>10.0197</v>
      </c>
      <c r="L14">
        <f>D14-H14</f>
        <v>10.544</v>
      </c>
      <c r="N14">
        <f>AVERAGE(L14,J14)</f>
        <v>10.5665</v>
      </c>
      <c r="O14">
        <f>STDEV(J14,L14)</f>
        <v>3.1819805153393332E-2</v>
      </c>
      <c r="Q14">
        <f>N14-N11</f>
        <v>2.9219999999999988</v>
      </c>
      <c r="S14">
        <f>POWER(2,-Q14)</f>
        <v>0.13194421470474596</v>
      </c>
    </row>
    <row r="16" spans="1:19">
      <c r="A16" s="51" t="s">
        <v>237</v>
      </c>
    </row>
    <row r="17" spans="1:19">
      <c r="A17" t="s">
        <v>5</v>
      </c>
      <c r="B17">
        <v>26.384</v>
      </c>
      <c r="C17">
        <v>26.193000000000001</v>
      </c>
      <c r="D17">
        <v>26.393999999999998</v>
      </c>
      <c r="F17">
        <v>16.398</v>
      </c>
      <c r="G17">
        <v>16.138999999999999</v>
      </c>
      <c r="H17">
        <v>16.934000000000001</v>
      </c>
      <c r="J17">
        <f>B17-F17</f>
        <v>9.9860000000000007</v>
      </c>
      <c r="K17">
        <f>C17-G17</f>
        <v>10.054000000000002</v>
      </c>
      <c r="L17">
        <f>D17-H17</f>
        <v>9.4599999999999973</v>
      </c>
      <c r="N17">
        <f>AVERAGE(L17,J17)</f>
        <v>9.722999999999999</v>
      </c>
      <c r="O17">
        <f>STDEV(J17,L17)</f>
        <v>0.37193816690412634</v>
      </c>
      <c r="Q17">
        <f>N17-N17</f>
        <v>0</v>
      </c>
      <c r="S17">
        <f>POWER(2,-Q17)</f>
        <v>1</v>
      </c>
    </row>
    <row r="18" spans="1:19">
      <c r="A18" t="s">
        <v>6</v>
      </c>
      <c r="B18">
        <v>27.183</v>
      </c>
      <c r="C18">
        <v>27.943000000000001</v>
      </c>
      <c r="D18">
        <v>27.183</v>
      </c>
      <c r="F18">
        <v>17.228000000000002</v>
      </c>
      <c r="G18">
        <v>17.927</v>
      </c>
      <c r="H18">
        <v>17.283000000000001</v>
      </c>
      <c r="J18">
        <f t="shared" ref="J18:L19" si="8">B18-F18</f>
        <v>9.9549999999999983</v>
      </c>
      <c r="K18">
        <f t="shared" si="8"/>
        <v>10.016000000000002</v>
      </c>
      <c r="L18">
        <f t="shared" si="8"/>
        <v>9.8999999999999986</v>
      </c>
      <c r="N18">
        <f t="shared" ref="N18:N19" si="9">AVERAGE(J18:L18)</f>
        <v>9.956999999999999</v>
      </c>
      <c r="O18">
        <f t="shared" ref="O18:O19" si="10">STDEV(J18:L18)</f>
        <v>5.8025856305617671E-2</v>
      </c>
      <c r="Q18">
        <f>N18-N17</f>
        <v>0.23399999999999999</v>
      </c>
      <c r="S18">
        <f t="shared" ref="S18:S19" si="11">POWER(2,-Q18)</f>
        <v>0.85027416006419576</v>
      </c>
    </row>
    <row r="19" spans="1:19">
      <c r="A19" t="s">
        <v>218</v>
      </c>
      <c r="B19">
        <v>27.384</v>
      </c>
      <c r="C19">
        <v>27.771000000000001</v>
      </c>
      <c r="D19">
        <v>27.431999999999999</v>
      </c>
      <c r="F19">
        <v>17.117999999999999</v>
      </c>
      <c r="G19">
        <v>17.373000000000001</v>
      </c>
      <c r="H19">
        <v>17.283999999999999</v>
      </c>
      <c r="J19">
        <f t="shared" si="8"/>
        <v>10.266000000000002</v>
      </c>
      <c r="K19">
        <f t="shared" si="8"/>
        <v>10.398</v>
      </c>
      <c r="L19">
        <f t="shared" si="8"/>
        <v>10.148</v>
      </c>
      <c r="N19">
        <f t="shared" si="9"/>
        <v>10.270666666666667</v>
      </c>
      <c r="O19">
        <f t="shared" si="10"/>
        <v>0.12506531626847359</v>
      </c>
      <c r="Q19">
        <f>N19-N17</f>
        <v>0.54766666666666808</v>
      </c>
      <c r="S19">
        <f t="shared" si="11"/>
        <v>0.68412570029218345</v>
      </c>
    </row>
    <row r="20" spans="1:19">
      <c r="A20" t="s">
        <v>52</v>
      </c>
      <c r="B20">
        <v>28.018000000000001</v>
      </c>
      <c r="C20">
        <v>28.911000000000001</v>
      </c>
      <c r="D20">
        <v>28.734000000000002</v>
      </c>
      <c r="F20">
        <v>17.722999999999999</v>
      </c>
      <c r="G20">
        <v>17.210999999999999</v>
      </c>
      <c r="H20">
        <v>17.126999999999999</v>
      </c>
      <c r="J20">
        <f>B20-F20</f>
        <v>10.295000000000002</v>
      </c>
      <c r="K20">
        <f>C20-G20</f>
        <v>11.700000000000003</v>
      </c>
      <c r="L20">
        <f>D20-H20</f>
        <v>11.607000000000003</v>
      </c>
      <c r="N20">
        <f>AVERAGE(L20,J20)</f>
        <v>10.951000000000002</v>
      </c>
      <c r="O20">
        <f>STDEV(J20,L20)</f>
        <v>0.92772409691675117</v>
      </c>
      <c r="Q20">
        <f>N20-N17</f>
        <v>1.2280000000000033</v>
      </c>
      <c r="S20">
        <f>POWER(2,-Q20)</f>
        <v>0.42690885719562149</v>
      </c>
    </row>
    <row r="22" spans="1:19">
      <c r="A22" s="51" t="s">
        <v>259</v>
      </c>
    </row>
    <row r="23" spans="1:19">
      <c r="A23" t="s">
        <v>5</v>
      </c>
      <c r="B23">
        <v>25.312000000000001</v>
      </c>
      <c r="C23">
        <v>25.338000000000001</v>
      </c>
      <c r="D23">
        <v>25.83</v>
      </c>
      <c r="F23">
        <v>16.280999999999999</v>
      </c>
      <c r="G23">
        <v>16.113</v>
      </c>
      <c r="H23">
        <v>16.384</v>
      </c>
      <c r="J23">
        <f>B23-F23</f>
        <v>9.0310000000000024</v>
      </c>
      <c r="K23">
        <f>C23-G23</f>
        <v>9.2250000000000014</v>
      </c>
      <c r="L23">
        <f>D23-H23</f>
        <v>9.445999999999998</v>
      </c>
      <c r="N23">
        <f>AVERAGE(L23,J23)</f>
        <v>9.2385000000000002</v>
      </c>
      <c r="O23">
        <f>STDEV(J23,L23)</f>
        <v>0.2934493141924141</v>
      </c>
      <c r="Q23">
        <f>N23-N23</f>
        <v>0</v>
      </c>
      <c r="S23">
        <f>POWER(2,-Q23)</f>
        <v>1</v>
      </c>
    </row>
    <row r="24" spans="1:19">
      <c r="A24" t="s">
        <v>6</v>
      </c>
      <c r="B24">
        <v>27.228000000000002</v>
      </c>
      <c r="C24">
        <v>27.193000000000001</v>
      </c>
      <c r="D24">
        <v>27.943999999999999</v>
      </c>
      <c r="F24">
        <v>17.384</v>
      </c>
      <c r="G24">
        <v>17.294</v>
      </c>
      <c r="H24">
        <v>17.521999999999998</v>
      </c>
      <c r="J24">
        <f t="shared" ref="J24:L25" si="12">B24-F24</f>
        <v>9.8440000000000012</v>
      </c>
      <c r="K24">
        <f t="shared" si="12"/>
        <v>9.8990000000000009</v>
      </c>
      <c r="L24">
        <f t="shared" si="12"/>
        <v>10.422000000000001</v>
      </c>
      <c r="N24">
        <f t="shared" ref="N24:N25" si="13">AVERAGE(J24:L24)</f>
        <v>10.055000000000001</v>
      </c>
      <c r="O24">
        <f t="shared" ref="O24:O25" si="14">STDEV(J24:L24)</f>
        <v>0.3190188082229633</v>
      </c>
      <c r="Q24">
        <f>N24-N23</f>
        <v>0.81650000000000134</v>
      </c>
      <c r="S24">
        <f t="shared" ref="S24:S25" si="15">POWER(2,-Q24)</f>
        <v>0.56781780763196466</v>
      </c>
    </row>
    <row r="25" spans="1:19">
      <c r="A25" t="s">
        <v>218</v>
      </c>
      <c r="B25">
        <v>27.922000000000001</v>
      </c>
      <c r="C25">
        <v>27.484999999999999</v>
      </c>
      <c r="D25">
        <v>27.119</v>
      </c>
      <c r="F25">
        <v>17.172999999999998</v>
      </c>
      <c r="G25">
        <v>17.294</v>
      </c>
      <c r="H25">
        <v>17.274000000000001</v>
      </c>
      <c r="J25">
        <f t="shared" si="12"/>
        <v>10.749000000000002</v>
      </c>
      <c r="K25">
        <f t="shared" si="12"/>
        <v>10.190999999999999</v>
      </c>
      <c r="L25">
        <f t="shared" si="12"/>
        <v>9.8449999999999989</v>
      </c>
      <c r="N25">
        <f t="shared" si="13"/>
        <v>10.261666666666667</v>
      </c>
      <c r="O25">
        <f t="shared" si="14"/>
        <v>0.45612425207758361</v>
      </c>
      <c r="Q25">
        <f>N25-N23</f>
        <v>1.0231666666666666</v>
      </c>
      <c r="S25">
        <f t="shared" si="15"/>
        <v>0.49203516560214788</v>
      </c>
    </row>
    <row r="26" spans="1:19">
      <c r="A26" t="s">
        <v>52</v>
      </c>
      <c r="B26">
        <v>28.733000000000001</v>
      </c>
      <c r="C26">
        <v>28.934000000000001</v>
      </c>
      <c r="D26">
        <v>28.183</v>
      </c>
      <c r="F26">
        <v>18.521999999999998</v>
      </c>
      <c r="G26">
        <v>18.172999999999998</v>
      </c>
      <c r="H26">
        <v>18.273</v>
      </c>
      <c r="J26">
        <f>B26-F26</f>
        <v>10.211000000000002</v>
      </c>
      <c r="K26">
        <f>C26-G26</f>
        <v>10.761000000000003</v>
      </c>
      <c r="L26">
        <f>D26-H26</f>
        <v>9.91</v>
      </c>
      <c r="N26">
        <f>AVERAGE(L26,J26)</f>
        <v>10.060500000000001</v>
      </c>
      <c r="O26">
        <f>STDEV(J26,L26)</f>
        <v>0.21283914113715219</v>
      </c>
      <c r="Q26">
        <f>N26-N23</f>
        <v>0.82200000000000095</v>
      </c>
      <c r="S26">
        <f>POWER(2,-Q26)</f>
        <v>0.56565723142294977</v>
      </c>
    </row>
    <row r="28" spans="1:19">
      <c r="A28" s="51" t="s">
        <v>260</v>
      </c>
    </row>
    <row r="29" spans="1:19">
      <c r="A29" t="s">
        <v>5</v>
      </c>
      <c r="B29">
        <v>25.338999999999999</v>
      </c>
      <c r="C29">
        <v>25.294</v>
      </c>
      <c r="D29">
        <v>25.652999999999999</v>
      </c>
      <c r="F29">
        <v>17.321999999999999</v>
      </c>
      <c r="G29">
        <v>17.927</v>
      </c>
      <c r="H29">
        <v>17.373999999999999</v>
      </c>
      <c r="J29">
        <f>B29-F29</f>
        <v>8.0169999999999995</v>
      </c>
      <c r="K29">
        <f>C29-G29</f>
        <v>7.3670000000000009</v>
      </c>
      <c r="L29">
        <f>D29-H29</f>
        <v>8.2789999999999999</v>
      </c>
      <c r="N29">
        <f>AVERAGE(L29,J29)</f>
        <v>8.1479999999999997</v>
      </c>
      <c r="O29">
        <f>STDEV(J29,L29)</f>
        <v>0.18526197667087577</v>
      </c>
      <c r="Q29">
        <f>N29-N29</f>
        <v>0</v>
      </c>
      <c r="S29">
        <f>POWER(2,-Q29)</f>
        <v>1</v>
      </c>
    </row>
    <row r="30" spans="1:19">
      <c r="A30" t="s">
        <v>6</v>
      </c>
      <c r="B30">
        <v>25.844999999999999</v>
      </c>
      <c r="C30">
        <v>25.866</v>
      </c>
      <c r="D30">
        <v>25.667999999999999</v>
      </c>
      <c r="F30">
        <v>17.617000000000001</v>
      </c>
      <c r="G30">
        <v>17.274000000000001</v>
      </c>
      <c r="H30">
        <v>17.111999999999998</v>
      </c>
      <c r="J30">
        <f t="shared" ref="J30:L31" si="16">B30-F30</f>
        <v>8.227999999999998</v>
      </c>
      <c r="K30">
        <f t="shared" si="16"/>
        <v>8.5919999999999987</v>
      </c>
      <c r="L30">
        <f t="shared" si="16"/>
        <v>8.5560000000000009</v>
      </c>
      <c r="N30">
        <f t="shared" ref="N30:N31" si="17">AVERAGE(J30:L30)</f>
        <v>8.4586666666666659</v>
      </c>
      <c r="O30">
        <f t="shared" ref="O30:O31" si="18">STDEV(J30:L30)</f>
        <v>0.20057251390291173</v>
      </c>
      <c r="Q30">
        <f>N30-N29</f>
        <v>0.3106666666666662</v>
      </c>
      <c r="S30">
        <f t="shared" ref="S30:S31" si="19">POWER(2,-Q30)</f>
        <v>0.80626909769110322</v>
      </c>
    </row>
    <row r="31" spans="1:19">
      <c r="A31" t="s">
        <v>218</v>
      </c>
      <c r="B31">
        <v>26.422000000000001</v>
      </c>
      <c r="C31">
        <v>26.193000000000001</v>
      </c>
      <c r="D31">
        <v>26.280999999999999</v>
      </c>
      <c r="F31">
        <v>16.372</v>
      </c>
      <c r="G31">
        <v>16.477</v>
      </c>
      <c r="H31">
        <v>16.384</v>
      </c>
      <c r="J31">
        <f t="shared" si="16"/>
        <v>10.050000000000001</v>
      </c>
      <c r="K31">
        <f t="shared" si="16"/>
        <v>9.7160000000000011</v>
      </c>
      <c r="L31">
        <f t="shared" si="16"/>
        <v>9.8969999999999985</v>
      </c>
      <c r="N31">
        <f t="shared" si="17"/>
        <v>9.8876666666666662</v>
      </c>
      <c r="O31">
        <f t="shared" si="18"/>
        <v>0.16719549435715439</v>
      </c>
      <c r="Q31">
        <f>N31-N29</f>
        <v>1.7396666666666665</v>
      </c>
      <c r="S31">
        <f t="shared" si="19"/>
        <v>0.29943885322839731</v>
      </c>
    </row>
    <row r="32" spans="1:19">
      <c r="A32" t="s">
        <v>52</v>
      </c>
      <c r="B32">
        <v>28.222000000000001</v>
      </c>
      <c r="C32">
        <v>28.193000000000001</v>
      </c>
      <c r="D32">
        <v>28.148</v>
      </c>
      <c r="F32">
        <v>17.117000000000001</v>
      </c>
      <c r="G32">
        <v>17.922000000000001</v>
      </c>
      <c r="H32">
        <v>17.372</v>
      </c>
      <c r="J32">
        <f>B32-F32</f>
        <v>11.105</v>
      </c>
      <c r="K32">
        <f>C32-G32</f>
        <v>10.271000000000001</v>
      </c>
      <c r="L32">
        <f>D32-H32</f>
        <v>10.776</v>
      </c>
      <c r="N32">
        <f>AVERAGE(L32,J32)</f>
        <v>10.9405</v>
      </c>
      <c r="O32">
        <f>STDEV(J32,L32)</f>
        <v>0.23263813101037456</v>
      </c>
      <c r="Q32">
        <f>N32-N29</f>
        <v>2.7925000000000004</v>
      </c>
      <c r="S32">
        <f>POWER(2,-Q32)</f>
        <v>0.14433569146108652</v>
      </c>
    </row>
  </sheetData>
  <mergeCells count="2">
    <mergeCell ref="B2:D2"/>
    <mergeCell ref="F2:H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workbookViewId="0">
      <selection activeCell="F2" sqref="F2:H2"/>
    </sheetView>
  </sheetViews>
  <sheetFormatPr defaultRowHeight="15"/>
  <cols>
    <col min="1" max="1" width="38.42578125" customWidth="1"/>
    <col min="2" max="2" width="12.5703125" customWidth="1"/>
    <col min="11" max="11" width="12.7109375" bestFit="1" customWidth="1"/>
  </cols>
  <sheetData>
    <row r="1" spans="1:19">
      <c r="A1" t="s">
        <v>402</v>
      </c>
    </row>
    <row r="2" spans="1:19">
      <c r="B2" s="72" t="s">
        <v>207</v>
      </c>
      <c r="C2" s="72"/>
      <c r="D2" s="72"/>
      <c r="F2" s="72" t="s">
        <v>459</v>
      </c>
      <c r="G2" s="72"/>
      <c r="H2" s="72"/>
      <c r="J2" s="54" t="s">
        <v>208</v>
      </c>
      <c r="N2" t="s">
        <v>209</v>
      </c>
      <c r="O2" t="s">
        <v>210</v>
      </c>
      <c r="Q2" t="s">
        <v>211</v>
      </c>
      <c r="S2" t="s">
        <v>212</v>
      </c>
    </row>
    <row r="3" spans="1:19">
      <c r="A3" s="4" t="s">
        <v>261</v>
      </c>
      <c r="B3" t="s">
        <v>213</v>
      </c>
      <c r="C3" t="s">
        <v>214</v>
      </c>
      <c r="D3" t="s">
        <v>215</v>
      </c>
      <c r="F3" t="s">
        <v>216</v>
      </c>
      <c r="G3" t="s">
        <v>214</v>
      </c>
      <c r="H3" t="s">
        <v>215</v>
      </c>
    </row>
    <row r="4" spans="1:19">
      <c r="A4" s="51" t="s">
        <v>217</v>
      </c>
    </row>
    <row r="5" spans="1:19">
      <c r="A5" t="s">
        <v>5</v>
      </c>
      <c r="B5">
        <v>27.228999999999999</v>
      </c>
      <c r="C5">
        <v>27.465</v>
      </c>
      <c r="D5">
        <v>27.193999999999999</v>
      </c>
      <c r="F5">
        <v>18.274000000000001</v>
      </c>
      <c r="G5">
        <v>18.113</v>
      </c>
      <c r="H5">
        <v>18.823</v>
      </c>
      <c r="J5">
        <f>B5-F5</f>
        <v>8.9549999999999983</v>
      </c>
      <c r="K5">
        <f>C5-G5</f>
        <v>9.3520000000000003</v>
      </c>
      <c r="L5">
        <f>D5-H5</f>
        <v>8.3709999999999987</v>
      </c>
      <c r="N5">
        <f>AVERAGE(L5,J5)</f>
        <v>8.6629999999999985</v>
      </c>
      <c r="O5">
        <f>STDEV(J5,L5)</f>
        <v>0.41295036021294351</v>
      </c>
      <c r="Q5">
        <f>N5-N5</f>
        <v>0</v>
      </c>
      <c r="S5">
        <f>POWER(2,-Q5)</f>
        <v>1</v>
      </c>
    </row>
    <row r="6" spans="1:19">
      <c r="A6" t="s">
        <v>6</v>
      </c>
      <c r="B6">
        <v>27.85</v>
      </c>
      <c r="C6">
        <v>27.382999999999999</v>
      </c>
      <c r="D6">
        <v>27.173999999999999</v>
      </c>
      <c r="F6">
        <v>18.783000000000001</v>
      </c>
      <c r="G6">
        <v>18.834299999999999</v>
      </c>
      <c r="H6">
        <v>18.117999999999999</v>
      </c>
      <c r="J6">
        <f t="shared" ref="J6:L7" si="0">B6-F6</f>
        <v>9.0670000000000002</v>
      </c>
      <c r="K6">
        <f t="shared" si="0"/>
        <v>8.5487000000000002</v>
      </c>
      <c r="L6">
        <f t="shared" si="0"/>
        <v>9.0560000000000009</v>
      </c>
      <c r="N6">
        <f t="shared" ref="N6:N7" si="1">AVERAGE(J6:L6)</f>
        <v>8.8905666666666665</v>
      </c>
      <c r="O6">
        <f t="shared" ref="O6:O7" si="2">STDEV(J6:L6)</f>
        <v>0.29611630035061132</v>
      </c>
      <c r="Q6">
        <f>N6-N5</f>
        <v>0.22756666666666803</v>
      </c>
      <c r="S6">
        <f t="shared" ref="S6:S7" si="3">POWER(2,-Q6)</f>
        <v>0.85407420882475937</v>
      </c>
    </row>
    <row r="7" spans="1:19">
      <c r="A7" t="s">
        <v>218</v>
      </c>
      <c r="B7">
        <v>26.823</v>
      </c>
      <c r="C7">
        <v>26.184000000000001</v>
      </c>
      <c r="D7">
        <v>26.943999999999999</v>
      </c>
      <c r="F7">
        <v>17.731999999999999</v>
      </c>
      <c r="G7">
        <v>17.934000000000001</v>
      </c>
      <c r="H7">
        <v>17.373000000000001</v>
      </c>
      <c r="J7">
        <f t="shared" si="0"/>
        <v>9.0910000000000011</v>
      </c>
      <c r="K7">
        <f t="shared" si="0"/>
        <v>8.25</v>
      </c>
      <c r="L7">
        <f t="shared" si="0"/>
        <v>9.570999999999998</v>
      </c>
      <c r="N7">
        <f t="shared" si="1"/>
        <v>8.9706666666666663</v>
      </c>
      <c r="O7">
        <f t="shared" si="2"/>
        <v>0.66867057160707488</v>
      </c>
      <c r="Q7">
        <f>N7-N5</f>
        <v>0.30766666666666787</v>
      </c>
      <c r="S7">
        <f t="shared" si="3"/>
        <v>0.80794743154040705</v>
      </c>
    </row>
    <row r="8" spans="1:19">
      <c r="A8" t="s">
        <v>52</v>
      </c>
      <c r="B8">
        <v>28.228000000000002</v>
      </c>
      <c r="C8">
        <v>28.149000000000001</v>
      </c>
      <c r="D8">
        <v>28.193999999999999</v>
      </c>
      <c r="F8">
        <v>16.384</v>
      </c>
      <c r="G8">
        <v>16.384</v>
      </c>
      <c r="H8">
        <v>16.294</v>
      </c>
      <c r="J8">
        <f>B8-F8</f>
        <v>11.844000000000001</v>
      </c>
      <c r="K8">
        <f>C8-G8</f>
        <v>11.765000000000001</v>
      </c>
      <c r="L8">
        <f>D8-H8</f>
        <v>11.899999999999999</v>
      </c>
      <c r="N8">
        <f>AVERAGE(L8,J8)</f>
        <v>11.872</v>
      </c>
      <c r="O8">
        <f>STDEV(J8,L8)</f>
        <v>3.9597979746444814E-2</v>
      </c>
      <c r="Q8">
        <f>N8-N5</f>
        <v>3.2090000000000014</v>
      </c>
      <c r="S8">
        <f>POWER(2,-Q8)</f>
        <v>0.10814208632312346</v>
      </c>
    </row>
    <row r="10" spans="1:19">
      <c r="A10" s="51" t="s">
        <v>219</v>
      </c>
    </row>
    <row r="11" spans="1:19">
      <c r="A11" t="s">
        <v>5</v>
      </c>
      <c r="B11">
        <v>26.481000000000002</v>
      </c>
      <c r="C11">
        <v>26.183</v>
      </c>
      <c r="D11">
        <v>26.114000000000001</v>
      </c>
      <c r="F11">
        <v>17.527999999999999</v>
      </c>
      <c r="G11">
        <v>17.934000000000001</v>
      </c>
      <c r="H11">
        <v>17.734000000000002</v>
      </c>
      <c r="J11">
        <f>B11-F11</f>
        <v>8.953000000000003</v>
      </c>
      <c r="K11">
        <f>C11-G11</f>
        <v>8.2489999999999988</v>
      </c>
      <c r="L11">
        <f>D11-H11</f>
        <v>8.379999999999999</v>
      </c>
      <c r="N11">
        <f>AVERAGE(L11,J11)</f>
        <v>8.666500000000001</v>
      </c>
      <c r="O11">
        <f>STDEV(J11,L11)</f>
        <v>0.40517218561989454</v>
      </c>
      <c r="Q11">
        <f>N11-N11</f>
        <v>0</v>
      </c>
      <c r="S11">
        <f>POWER(2,-Q11)</f>
        <v>1</v>
      </c>
    </row>
    <row r="12" spans="1:19">
      <c r="A12" t="s">
        <v>6</v>
      </c>
      <c r="B12">
        <v>27.933</v>
      </c>
      <c r="C12">
        <v>27.312999999999999</v>
      </c>
      <c r="D12">
        <v>27.937999999999999</v>
      </c>
      <c r="F12">
        <v>16.684000000000001</v>
      </c>
      <c r="G12">
        <v>16.395</v>
      </c>
      <c r="H12">
        <v>16.933</v>
      </c>
      <c r="J12">
        <f t="shared" ref="J12:L13" si="4">B12-F12</f>
        <v>11.248999999999999</v>
      </c>
      <c r="K12">
        <f t="shared" si="4"/>
        <v>10.917999999999999</v>
      </c>
      <c r="L12">
        <f t="shared" si="4"/>
        <v>11.004999999999999</v>
      </c>
      <c r="N12">
        <f t="shared" ref="N12:N13" si="5">AVERAGE(J12:L12)</f>
        <v>11.057333333333332</v>
      </c>
      <c r="O12">
        <f t="shared" ref="O12:O13" si="6">STDEV(J12:L12)</f>
        <v>0.17159351192085689</v>
      </c>
      <c r="Q12">
        <f>N12-N11</f>
        <v>2.3908333333333314</v>
      </c>
      <c r="S12">
        <f t="shared" ref="S12:S13" si="7">POWER(2,-Q12)</f>
        <v>0.19067223270482195</v>
      </c>
    </row>
    <row r="13" spans="1:19">
      <c r="A13" t="s">
        <v>218</v>
      </c>
      <c r="B13">
        <v>28.47</v>
      </c>
      <c r="C13">
        <v>28.184000000000001</v>
      </c>
      <c r="D13">
        <v>28.183</v>
      </c>
      <c r="F13">
        <v>17.113</v>
      </c>
      <c r="G13">
        <v>17.393999999999998</v>
      </c>
      <c r="H13">
        <v>17.492999999999999</v>
      </c>
      <c r="J13">
        <f t="shared" si="4"/>
        <v>11.356999999999999</v>
      </c>
      <c r="K13">
        <f t="shared" si="4"/>
        <v>10.790000000000003</v>
      </c>
      <c r="L13">
        <f t="shared" si="4"/>
        <v>10.690000000000001</v>
      </c>
      <c r="N13">
        <f t="shared" si="5"/>
        <v>10.945666666666668</v>
      </c>
      <c r="O13">
        <f t="shared" si="6"/>
        <v>0.35971701840937731</v>
      </c>
      <c r="Q13">
        <f>N13-N11</f>
        <v>2.2791666666666668</v>
      </c>
      <c r="S13">
        <f t="shared" si="7"/>
        <v>0.20601671987876083</v>
      </c>
    </row>
    <row r="14" spans="1:19">
      <c r="A14" t="s">
        <v>52</v>
      </c>
      <c r="B14">
        <v>29.181999999999999</v>
      </c>
      <c r="C14">
        <v>29.812999999999999</v>
      </c>
      <c r="D14">
        <v>29.183</v>
      </c>
      <c r="F14">
        <v>16.484999999999999</v>
      </c>
      <c r="G14">
        <v>16.834</v>
      </c>
      <c r="H14">
        <v>16.934000000000001</v>
      </c>
      <c r="J14">
        <f>B14-F14</f>
        <v>12.696999999999999</v>
      </c>
      <c r="K14">
        <f>C14-G14</f>
        <v>12.978999999999999</v>
      </c>
      <c r="L14">
        <f>D14-H14</f>
        <v>12.248999999999999</v>
      </c>
      <c r="N14">
        <f>AVERAGE(L14,J14)</f>
        <v>12.472999999999999</v>
      </c>
      <c r="O14">
        <f>STDEV(J14,L14)</f>
        <v>0.31678383797157356</v>
      </c>
      <c r="Q14">
        <f>N14-N11</f>
        <v>3.806499999999998</v>
      </c>
      <c r="S14">
        <f>POWER(2,-Q14)</f>
        <v>7.1470911602005804E-2</v>
      </c>
    </row>
    <row r="16" spans="1:19">
      <c r="A16" s="51" t="s">
        <v>237</v>
      </c>
    </row>
    <row r="17" spans="1:19">
      <c r="A17" t="s">
        <v>5</v>
      </c>
      <c r="B17">
        <v>26.183</v>
      </c>
      <c r="C17">
        <v>26.843</v>
      </c>
      <c r="D17">
        <v>26.198</v>
      </c>
      <c r="F17">
        <v>17.843</v>
      </c>
      <c r="G17">
        <v>17.294</v>
      </c>
      <c r="H17">
        <v>17.338999999999999</v>
      </c>
      <c r="J17">
        <f>B17-F17</f>
        <v>8.34</v>
      </c>
      <c r="K17">
        <f>C17-G17</f>
        <v>9.5489999999999995</v>
      </c>
      <c r="L17">
        <f>D17-H17</f>
        <v>8.8590000000000018</v>
      </c>
      <c r="N17">
        <f>AVERAGE(L17,J17)</f>
        <v>8.5995000000000008</v>
      </c>
      <c r="O17">
        <f>STDEV(J17,L17)</f>
        <v>0.3669884194358195</v>
      </c>
      <c r="Q17">
        <f>N17-N17</f>
        <v>0</v>
      </c>
      <c r="S17">
        <f>POWER(2,-Q17)</f>
        <v>1</v>
      </c>
    </row>
    <row r="18" spans="1:19">
      <c r="A18" t="s">
        <v>6</v>
      </c>
      <c r="B18">
        <v>27.338999999999999</v>
      </c>
      <c r="C18">
        <v>27.183</v>
      </c>
      <c r="D18">
        <v>27.475000000000001</v>
      </c>
      <c r="F18">
        <v>17.834</v>
      </c>
      <c r="G18">
        <v>16.844999999999999</v>
      </c>
      <c r="H18">
        <v>17.484000000000002</v>
      </c>
      <c r="J18">
        <f t="shared" ref="J18:L19" si="8">B18-F18</f>
        <v>9.504999999999999</v>
      </c>
      <c r="K18">
        <f t="shared" si="8"/>
        <v>10.338000000000001</v>
      </c>
      <c r="L18">
        <f t="shared" si="8"/>
        <v>9.9909999999999997</v>
      </c>
      <c r="N18">
        <f t="shared" ref="N18:N19" si="9">AVERAGE(J18:L18)</f>
        <v>9.9446666666666665</v>
      </c>
      <c r="O18">
        <f t="shared" ref="O18:O19" si="10">STDEV(J18:L18)</f>
        <v>0.4184284088507067</v>
      </c>
      <c r="Q18">
        <f>N18-N17</f>
        <v>1.3451666666666657</v>
      </c>
      <c r="S18">
        <f t="shared" ref="S18:S19" si="11">POWER(2,-Q18)</f>
        <v>0.39360851421932158</v>
      </c>
    </row>
    <row r="19" spans="1:19">
      <c r="A19" t="s">
        <v>218</v>
      </c>
      <c r="B19">
        <v>28.483000000000001</v>
      </c>
      <c r="C19">
        <v>28.712</v>
      </c>
      <c r="D19">
        <v>28.742000000000001</v>
      </c>
      <c r="F19">
        <v>17.173999999999999</v>
      </c>
      <c r="G19">
        <v>17.1174</v>
      </c>
      <c r="H19">
        <v>16.375</v>
      </c>
      <c r="J19">
        <f t="shared" si="8"/>
        <v>11.309000000000001</v>
      </c>
      <c r="K19">
        <f t="shared" si="8"/>
        <v>11.5946</v>
      </c>
      <c r="L19">
        <f t="shared" si="8"/>
        <v>12.367000000000001</v>
      </c>
      <c r="N19">
        <f t="shared" si="9"/>
        <v>11.756866666666667</v>
      </c>
      <c r="O19">
        <f t="shared" si="10"/>
        <v>0.54734710498305683</v>
      </c>
      <c r="Q19">
        <f>N19-N17</f>
        <v>3.1573666666666664</v>
      </c>
      <c r="S19">
        <f t="shared" si="11"/>
        <v>0.11208253011793051</v>
      </c>
    </row>
    <row r="20" spans="1:19">
      <c r="A20" t="s">
        <v>52</v>
      </c>
      <c r="B20">
        <v>28.812999999999999</v>
      </c>
      <c r="C20">
        <v>28.812000000000001</v>
      </c>
      <c r="D20">
        <v>28.712</v>
      </c>
      <c r="F20">
        <v>17.285</v>
      </c>
      <c r="G20">
        <v>17.193000000000001</v>
      </c>
      <c r="H20">
        <v>17.934000000000001</v>
      </c>
      <c r="J20">
        <f>B20-F20</f>
        <v>11.527999999999999</v>
      </c>
      <c r="K20">
        <f>C20-G20</f>
        <v>11.619</v>
      </c>
      <c r="L20">
        <f>D20-H20</f>
        <v>10.777999999999999</v>
      </c>
      <c r="N20">
        <f>AVERAGE(L20,J20)</f>
        <v>11.152999999999999</v>
      </c>
      <c r="O20">
        <f>STDEV(J20,L20)</f>
        <v>0.5303300858899106</v>
      </c>
      <c r="Q20">
        <f>N20-N17</f>
        <v>2.5534999999999979</v>
      </c>
      <c r="S20">
        <f>POWER(2,-Q20)</f>
        <v>0.17034127989006473</v>
      </c>
    </row>
    <row r="22" spans="1:19">
      <c r="A22" s="51" t="s">
        <v>259</v>
      </c>
    </row>
    <row r="23" spans="1:19">
      <c r="A23" t="s">
        <v>5</v>
      </c>
      <c r="B23">
        <v>26.582999999999998</v>
      </c>
      <c r="C23">
        <v>26.193000000000001</v>
      </c>
      <c r="D23">
        <v>26.943000000000001</v>
      </c>
      <c r="F23">
        <v>17.733000000000001</v>
      </c>
      <c r="G23">
        <v>17.882999999999999</v>
      </c>
      <c r="H23">
        <v>17.183</v>
      </c>
      <c r="J23">
        <f>B23-F23</f>
        <v>8.8499999999999979</v>
      </c>
      <c r="K23">
        <f>C23-G23</f>
        <v>8.3100000000000023</v>
      </c>
      <c r="L23">
        <f>D23-H23</f>
        <v>9.7600000000000016</v>
      </c>
      <c r="N23">
        <f>AVERAGE(L23,J23)</f>
        <v>9.3049999999999997</v>
      </c>
      <c r="O23">
        <f>STDEV(J23,L23)</f>
        <v>0.64346717087976091</v>
      </c>
      <c r="Q23">
        <f>N23-N23</f>
        <v>0</v>
      </c>
      <c r="S23">
        <f>POWER(2,-Q23)</f>
        <v>1</v>
      </c>
    </row>
    <row r="24" spans="1:19">
      <c r="A24" t="s">
        <v>6</v>
      </c>
      <c r="B24">
        <v>26.283000000000001</v>
      </c>
      <c r="C24">
        <v>26.818000000000001</v>
      </c>
      <c r="D24">
        <v>26.837</v>
      </c>
      <c r="F24">
        <v>16.274000000000001</v>
      </c>
      <c r="G24">
        <v>17.172999999999998</v>
      </c>
      <c r="H24">
        <v>17.832999999999998</v>
      </c>
      <c r="J24">
        <f t="shared" ref="J24:L25" si="12">B24-F24</f>
        <v>10.009</v>
      </c>
      <c r="K24">
        <f t="shared" si="12"/>
        <v>9.6450000000000031</v>
      </c>
      <c r="L24">
        <f t="shared" si="12"/>
        <v>9.0040000000000013</v>
      </c>
      <c r="N24">
        <f t="shared" ref="N24:N25" si="13">AVERAGE(J24:L24)</f>
        <v>9.5526666666666689</v>
      </c>
      <c r="O24">
        <f t="shared" ref="O24:O25" si="14">STDEV(J24:L24)</f>
        <v>0.50882249688209846</v>
      </c>
      <c r="Q24">
        <f>N24-N23</f>
        <v>0.24766666666666914</v>
      </c>
      <c r="S24">
        <f t="shared" ref="S24:S25" si="15">POWER(2,-Q24)</f>
        <v>0.84225753394039959</v>
      </c>
    </row>
    <row r="25" spans="1:19">
      <c r="A25" t="s">
        <v>218</v>
      </c>
      <c r="B25">
        <v>27.882000000000001</v>
      </c>
      <c r="C25">
        <v>27.484000000000002</v>
      </c>
      <c r="D25">
        <v>27.748999999999999</v>
      </c>
      <c r="F25">
        <v>17.113</v>
      </c>
      <c r="G25">
        <v>17.27</v>
      </c>
      <c r="H25">
        <v>17.934000000000001</v>
      </c>
      <c r="J25">
        <f t="shared" si="12"/>
        <v>10.769000000000002</v>
      </c>
      <c r="K25">
        <f t="shared" si="12"/>
        <v>10.214000000000002</v>
      </c>
      <c r="L25">
        <f t="shared" si="12"/>
        <v>9.8149999999999977</v>
      </c>
      <c r="N25">
        <f t="shared" si="13"/>
        <v>10.266</v>
      </c>
      <c r="O25">
        <f t="shared" si="14"/>
        <v>0.47912107029434831</v>
      </c>
      <c r="Q25">
        <f>N25-N23</f>
        <v>0.9610000000000003</v>
      </c>
      <c r="S25">
        <f t="shared" si="15"/>
        <v>0.51370071968948183</v>
      </c>
    </row>
    <row r="26" spans="1:19">
      <c r="A26" t="s">
        <v>52</v>
      </c>
      <c r="B26">
        <v>28.439</v>
      </c>
      <c r="C26">
        <v>28.120999999999999</v>
      </c>
      <c r="D26">
        <v>28.994</v>
      </c>
      <c r="F26">
        <v>16.294</v>
      </c>
      <c r="G26">
        <v>16.294</v>
      </c>
      <c r="H26">
        <v>16.393999999999998</v>
      </c>
      <c r="J26">
        <f>B26-F26</f>
        <v>12.145</v>
      </c>
      <c r="K26">
        <f>C26-G26</f>
        <v>11.826999999999998</v>
      </c>
      <c r="L26">
        <f>D26-H26</f>
        <v>12.600000000000001</v>
      </c>
      <c r="N26">
        <f>AVERAGE(L26,J26)</f>
        <v>12.3725</v>
      </c>
      <c r="O26">
        <f>STDEV(J26,L26)</f>
        <v>0.32173358543988045</v>
      </c>
      <c r="Q26">
        <f>N26-N23</f>
        <v>3.0675000000000008</v>
      </c>
      <c r="S26">
        <f>POWER(2,-Q26)</f>
        <v>0.11928627812902308</v>
      </c>
    </row>
    <row r="28" spans="1:19">
      <c r="A28" s="51" t="s">
        <v>262</v>
      </c>
    </row>
    <row r="29" spans="1:19">
      <c r="A29" t="s">
        <v>5</v>
      </c>
      <c r="B29">
        <v>25.812999999999999</v>
      </c>
      <c r="C29">
        <v>25.338000000000001</v>
      </c>
      <c r="D29">
        <v>25.733000000000001</v>
      </c>
      <c r="F29">
        <v>16.573</v>
      </c>
      <c r="G29">
        <v>16.183</v>
      </c>
      <c r="H29">
        <v>16.411999999999999</v>
      </c>
      <c r="J29">
        <f>B29-F29</f>
        <v>9.2399999999999984</v>
      </c>
      <c r="K29">
        <f>C29-G29</f>
        <v>9.1550000000000011</v>
      </c>
      <c r="L29">
        <f>D29-H29</f>
        <v>9.3210000000000015</v>
      </c>
      <c r="N29">
        <f>AVERAGE(L29,J29)</f>
        <v>9.2805</v>
      </c>
      <c r="O29">
        <f>STDEV(J29,L29)</f>
        <v>5.727564927611252E-2</v>
      </c>
      <c r="Q29">
        <f>N29-N29</f>
        <v>0</v>
      </c>
      <c r="S29">
        <f>POWER(2,-Q29)</f>
        <v>1</v>
      </c>
    </row>
    <row r="30" spans="1:19">
      <c r="A30" t="s">
        <v>6</v>
      </c>
      <c r="B30">
        <v>26.823</v>
      </c>
      <c r="C30">
        <v>26.193000000000001</v>
      </c>
      <c r="D30">
        <v>26.934000000000001</v>
      </c>
      <c r="F30">
        <v>17.722000000000001</v>
      </c>
      <c r="G30">
        <v>17.827999999999999</v>
      </c>
      <c r="H30">
        <v>16.373999999999999</v>
      </c>
      <c r="J30">
        <f t="shared" ref="J30:L31" si="16">B30-F30</f>
        <v>9.1009999999999991</v>
      </c>
      <c r="K30">
        <f t="shared" si="16"/>
        <v>8.365000000000002</v>
      </c>
      <c r="L30">
        <f t="shared" si="16"/>
        <v>10.560000000000002</v>
      </c>
      <c r="N30">
        <f t="shared" ref="N30:N31" si="17">AVERAGE(J30:L30)</f>
        <v>9.3420000000000005</v>
      </c>
      <c r="O30">
        <f t="shared" ref="O30:O31" si="18">STDEV(J30:L30)</f>
        <v>1.117169190409403</v>
      </c>
      <c r="Q30">
        <f>N30-N29</f>
        <v>6.1500000000000554E-2</v>
      </c>
      <c r="S30">
        <f t="shared" ref="S30:S31" si="19">POWER(2,-Q30)</f>
        <v>0.95826727080753571</v>
      </c>
    </row>
    <row r="31" spans="1:19">
      <c r="A31" t="s">
        <v>218</v>
      </c>
      <c r="B31">
        <v>28.384</v>
      </c>
      <c r="C31">
        <v>28.431999999999999</v>
      </c>
      <c r="D31">
        <v>28.173999999999999</v>
      </c>
      <c r="F31">
        <v>16.757999999999999</v>
      </c>
      <c r="G31">
        <v>16.823</v>
      </c>
      <c r="H31">
        <v>16.734000000000002</v>
      </c>
      <c r="J31">
        <f t="shared" si="16"/>
        <v>11.626000000000001</v>
      </c>
      <c r="K31">
        <f t="shared" si="16"/>
        <v>11.608999999999998</v>
      </c>
      <c r="L31">
        <f t="shared" si="16"/>
        <v>11.439999999999998</v>
      </c>
      <c r="N31">
        <f t="shared" si="17"/>
        <v>11.558333333333332</v>
      </c>
      <c r="O31">
        <f t="shared" si="18"/>
        <v>0.10283157751067322</v>
      </c>
      <c r="Q31">
        <f>N31-N29</f>
        <v>2.2778333333333318</v>
      </c>
      <c r="S31">
        <f t="shared" si="19"/>
        <v>0.20620720776734056</v>
      </c>
    </row>
    <row r="32" spans="1:19">
      <c r="A32" t="s">
        <v>52</v>
      </c>
      <c r="B32">
        <v>28.710999999999999</v>
      </c>
      <c r="C32">
        <v>28.713999999999999</v>
      </c>
      <c r="D32">
        <v>28.375</v>
      </c>
      <c r="F32">
        <v>17.771000000000001</v>
      </c>
      <c r="G32">
        <v>17.273</v>
      </c>
      <c r="H32">
        <v>17.884</v>
      </c>
      <c r="J32">
        <f>B32-F32</f>
        <v>10.939999999999998</v>
      </c>
      <c r="K32">
        <f>C32-G32</f>
        <v>11.440999999999999</v>
      </c>
      <c r="L32">
        <f>D32-H32</f>
        <v>10.491</v>
      </c>
      <c r="N32">
        <f>AVERAGE(L32,J32)</f>
        <v>10.715499999999999</v>
      </c>
      <c r="O32">
        <f>STDEV(J32,L32)</f>
        <v>0.31749094475275846</v>
      </c>
      <c r="Q32">
        <f>N32-N29</f>
        <v>1.4349999999999987</v>
      </c>
      <c r="S32">
        <f>POWER(2,-Q32)</f>
        <v>0.36984687731220967</v>
      </c>
    </row>
  </sheetData>
  <mergeCells count="2">
    <mergeCell ref="B2:D2"/>
    <mergeCell ref="F2:H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workbookViewId="0">
      <selection activeCell="F2" sqref="F2:H2"/>
    </sheetView>
  </sheetViews>
  <sheetFormatPr defaultRowHeight="15"/>
  <cols>
    <col min="1" max="1" width="25.5703125" customWidth="1"/>
    <col min="2" max="2" width="12.5703125" customWidth="1"/>
    <col min="11" max="11" width="12.7109375" bestFit="1" customWidth="1"/>
  </cols>
  <sheetData>
    <row r="1" spans="1:19">
      <c r="A1" t="s">
        <v>405</v>
      </c>
    </row>
    <row r="2" spans="1:19">
      <c r="B2" s="72" t="s">
        <v>207</v>
      </c>
      <c r="C2" s="72"/>
      <c r="D2" s="72"/>
      <c r="F2" s="72" t="s">
        <v>459</v>
      </c>
      <c r="G2" s="72"/>
      <c r="H2" s="72"/>
      <c r="J2" s="54" t="s">
        <v>208</v>
      </c>
      <c r="N2" t="s">
        <v>209</v>
      </c>
      <c r="O2" t="s">
        <v>210</v>
      </c>
      <c r="Q2" t="s">
        <v>211</v>
      </c>
      <c r="S2" t="s">
        <v>212</v>
      </c>
    </row>
    <row r="3" spans="1:19">
      <c r="A3" t="s">
        <v>238</v>
      </c>
      <c r="B3" t="s">
        <v>213</v>
      </c>
      <c r="C3" t="s">
        <v>214</v>
      </c>
      <c r="D3" t="s">
        <v>215</v>
      </c>
      <c r="F3" t="s">
        <v>216</v>
      </c>
      <c r="G3" t="s">
        <v>214</v>
      </c>
      <c r="H3" t="s">
        <v>215</v>
      </c>
    </row>
    <row r="4" spans="1:19">
      <c r="A4" s="51" t="s">
        <v>217</v>
      </c>
    </row>
    <row r="5" spans="1:19">
      <c r="A5" t="s">
        <v>5</v>
      </c>
      <c r="B5">
        <v>28.853999999999999</v>
      </c>
      <c r="C5">
        <v>28.195799999999998</v>
      </c>
      <c r="D5">
        <v>28.113</v>
      </c>
      <c r="F5">
        <v>18.395</v>
      </c>
      <c r="G5">
        <v>18.119</v>
      </c>
      <c r="H5">
        <v>18.32</v>
      </c>
      <c r="J5">
        <f>B5-F5</f>
        <v>10.459</v>
      </c>
      <c r="K5">
        <f>C5-G5</f>
        <v>10.076799999999999</v>
      </c>
      <c r="L5">
        <f>D5-H5</f>
        <v>9.7929999999999993</v>
      </c>
      <c r="N5">
        <f>AVERAGE(L5,J5)</f>
        <v>10.125999999999999</v>
      </c>
      <c r="O5">
        <f>STDEV(J5,L5)</f>
        <v>0.47093311627024093</v>
      </c>
      <c r="Q5">
        <f>N5-N5</f>
        <v>0</v>
      </c>
      <c r="S5">
        <f>POWER(2,-Q5)</f>
        <v>1</v>
      </c>
    </row>
    <row r="6" spans="1:19">
      <c r="A6" t="s">
        <v>6</v>
      </c>
      <c r="B6">
        <v>28.582999999999998</v>
      </c>
      <c r="C6">
        <v>28.193999999999999</v>
      </c>
      <c r="D6">
        <v>28.943999999999999</v>
      </c>
      <c r="F6">
        <v>17.832000000000001</v>
      </c>
      <c r="G6">
        <v>17.238</v>
      </c>
      <c r="H6">
        <v>17.113</v>
      </c>
      <c r="J6">
        <f t="shared" ref="J6:L8" si="0">B6-F6</f>
        <v>10.750999999999998</v>
      </c>
      <c r="K6">
        <f t="shared" si="0"/>
        <v>10.956</v>
      </c>
      <c r="L6">
        <f t="shared" si="0"/>
        <v>11.831</v>
      </c>
      <c r="N6">
        <f t="shared" ref="N6" si="1">AVERAGE(J6:L6)</f>
        <v>11.179333333333332</v>
      </c>
      <c r="O6">
        <f t="shared" ref="O6" si="2">STDEV(J6:L6)</f>
        <v>0.57359248019245701</v>
      </c>
      <c r="Q6">
        <f>N6-N5</f>
        <v>1.0533333333333328</v>
      </c>
      <c r="S6">
        <f t="shared" ref="S6" si="3">POWER(2,-Q6)</f>
        <v>0.48185355919577616</v>
      </c>
    </row>
    <row r="7" spans="1:19">
      <c r="A7" t="s">
        <v>218</v>
      </c>
      <c r="B7">
        <v>28.914000000000001</v>
      </c>
      <c r="C7">
        <v>28.385000000000002</v>
      </c>
      <c r="D7">
        <v>28.042999999999999</v>
      </c>
      <c r="F7">
        <v>17.722000000000001</v>
      </c>
      <c r="G7">
        <v>18.722999999999999</v>
      </c>
      <c r="H7">
        <v>17.273</v>
      </c>
      <c r="J7">
        <f t="shared" si="0"/>
        <v>11.192</v>
      </c>
      <c r="K7">
        <f>C7-G7</f>
        <v>9.6620000000000026</v>
      </c>
      <c r="L7">
        <f>D7-H7</f>
        <v>10.77</v>
      </c>
      <c r="N7">
        <f>AVERAGE(L7,J7)</f>
        <v>10.981</v>
      </c>
      <c r="O7">
        <f>STDEV(J7,L7)</f>
        <v>0.29839906166072344</v>
      </c>
      <c r="Q7">
        <f>N7-N5</f>
        <v>0.85500000000000043</v>
      </c>
      <c r="S7">
        <f>POWER(2,-Q7)</f>
        <v>0.55286532666013422</v>
      </c>
    </row>
    <row r="8" spans="1:19">
      <c r="A8" t="s">
        <v>52</v>
      </c>
      <c r="B8">
        <v>30.484999999999999</v>
      </c>
      <c r="C8">
        <v>30.882000000000001</v>
      </c>
      <c r="D8">
        <v>30.853999999999999</v>
      </c>
      <c r="F8">
        <v>16.283000000000001</v>
      </c>
      <c r="G8">
        <v>16.283999999999999</v>
      </c>
      <c r="H8">
        <v>16.283999999999999</v>
      </c>
      <c r="J8">
        <f t="shared" si="0"/>
        <v>14.201999999999998</v>
      </c>
      <c r="K8">
        <f>C8-G8</f>
        <v>14.598000000000003</v>
      </c>
      <c r="L8">
        <f>D8-H8</f>
        <v>14.57</v>
      </c>
      <c r="N8">
        <f>AVERAGE(L8,J8)</f>
        <v>14.385999999999999</v>
      </c>
      <c r="O8">
        <f>STDEV(J8,L8)</f>
        <v>0.26021529547665095</v>
      </c>
      <c r="Q8">
        <f>N8-N5</f>
        <v>4.26</v>
      </c>
      <c r="S8">
        <f>POWER(2,-Q8)</f>
        <v>5.2192994964273098E-2</v>
      </c>
    </row>
    <row r="10" spans="1:19">
      <c r="A10" s="51" t="s">
        <v>219</v>
      </c>
    </row>
    <row r="11" spans="1:19">
      <c r="A11" t="s">
        <v>5</v>
      </c>
      <c r="B11">
        <v>27.193999999999999</v>
      </c>
      <c r="C11">
        <v>27.593</v>
      </c>
      <c r="D11">
        <v>27.193999999999999</v>
      </c>
      <c r="F11">
        <v>16.373999999999999</v>
      </c>
      <c r="G11">
        <v>16.283999999999999</v>
      </c>
      <c r="H11">
        <v>16.184000000000001</v>
      </c>
      <c r="J11">
        <f>B11-F11</f>
        <v>10.82</v>
      </c>
      <c r="K11">
        <f>C11-G11</f>
        <v>11.309000000000001</v>
      </c>
      <c r="L11">
        <f>D11-H11</f>
        <v>11.009999999999998</v>
      </c>
      <c r="N11">
        <f>AVERAGE(L11,J11)</f>
        <v>10.914999999999999</v>
      </c>
      <c r="O11">
        <f>STDEV(J11,L11)</f>
        <v>0.13435028842544242</v>
      </c>
      <c r="Q11">
        <f>N11-N11</f>
        <v>0</v>
      </c>
      <c r="S11">
        <f>POWER(2,-Q11)</f>
        <v>1</v>
      </c>
    </row>
    <row r="12" spans="1:19">
      <c r="A12" t="s">
        <v>6</v>
      </c>
      <c r="B12">
        <v>28.448</v>
      </c>
      <c r="C12">
        <v>28.184000000000001</v>
      </c>
      <c r="D12">
        <v>28.344000000000001</v>
      </c>
      <c r="F12">
        <v>16.712</v>
      </c>
      <c r="G12">
        <v>16.933</v>
      </c>
      <c r="H12">
        <v>16.681999999999999</v>
      </c>
      <c r="J12">
        <f t="shared" ref="J12:L14" si="4">B12-F12</f>
        <v>11.736000000000001</v>
      </c>
      <c r="K12">
        <f t="shared" si="4"/>
        <v>11.251000000000001</v>
      </c>
      <c r="L12">
        <f t="shared" si="4"/>
        <v>11.662000000000003</v>
      </c>
      <c r="N12">
        <f t="shared" ref="N12" si="5">AVERAGE(J12:L12)</f>
        <v>11.549666666666667</v>
      </c>
      <c r="O12">
        <f t="shared" ref="O12" si="6">STDEV(J12:L12)</f>
        <v>0.26128592257014799</v>
      </c>
      <c r="Q12">
        <f>N12-N11</f>
        <v>0.63466666666666782</v>
      </c>
      <c r="S12">
        <f t="shared" ref="S12" si="7">POWER(2,-Q12)</f>
        <v>0.64408961386426244</v>
      </c>
    </row>
    <row r="13" spans="1:19">
      <c r="A13" t="s">
        <v>218</v>
      </c>
      <c r="B13">
        <v>29.448</v>
      </c>
      <c r="C13">
        <v>28.148</v>
      </c>
      <c r="D13">
        <v>28.484999999999999</v>
      </c>
      <c r="F13">
        <v>17.724</v>
      </c>
      <c r="G13">
        <v>17.238</v>
      </c>
      <c r="H13">
        <v>17.033000000000001</v>
      </c>
      <c r="J13">
        <f t="shared" si="4"/>
        <v>11.724</v>
      </c>
      <c r="K13">
        <f>C13-G13</f>
        <v>10.91</v>
      </c>
      <c r="L13">
        <f>D13-H13</f>
        <v>11.451999999999998</v>
      </c>
      <c r="N13">
        <f>AVERAGE(L13,J13)</f>
        <v>11.587999999999999</v>
      </c>
      <c r="O13">
        <f>STDEV(J13,L13)</f>
        <v>0.19233304448274235</v>
      </c>
      <c r="Q13">
        <f>N13-N11</f>
        <v>0.67300000000000004</v>
      </c>
      <c r="S13">
        <f>POWER(2,-Q13)</f>
        <v>0.62720110226049741</v>
      </c>
    </row>
    <row r="14" spans="1:19">
      <c r="A14" t="s">
        <v>52</v>
      </c>
      <c r="B14">
        <v>29.338999999999999</v>
      </c>
      <c r="C14">
        <v>29.184000000000001</v>
      </c>
      <c r="D14">
        <v>29.484999999999999</v>
      </c>
      <c r="F14">
        <v>17.542000000000002</v>
      </c>
      <c r="G14">
        <v>17.283000000000001</v>
      </c>
      <c r="H14">
        <v>17.591999999999999</v>
      </c>
      <c r="J14">
        <f t="shared" si="4"/>
        <v>11.796999999999997</v>
      </c>
      <c r="K14">
        <f>C14-G14</f>
        <v>11.901</v>
      </c>
      <c r="L14">
        <f>D14-H14</f>
        <v>11.893000000000001</v>
      </c>
      <c r="N14">
        <f>AVERAGE(L14,J14)</f>
        <v>11.844999999999999</v>
      </c>
      <c r="O14">
        <f>STDEV(J14,L14)</f>
        <v>6.7882250993911139E-2</v>
      </c>
      <c r="Q14">
        <f>N14-N11</f>
        <v>0.92999999999999972</v>
      </c>
      <c r="S14">
        <f>POWER(2,-Q14)</f>
        <v>0.52485834181153379</v>
      </c>
    </row>
    <row r="16" spans="1:19">
      <c r="A16" s="51" t="s">
        <v>239</v>
      </c>
    </row>
    <row r="17" spans="1:19">
      <c r="A17" t="s">
        <v>5</v>
      </c>
      <c r="B17">
        <v>28.484999999999999</v>
      </c>
      <c r="C17">
        <v>28.119</v>
      </c>
      <c r="D17">
        <v>28.943999999999999</v>
      </c>
      <c r="F17">
        <v>16.545000000000002</v>
      </c>
      <c r="G17">
        <v>16.934000000000001</v>
      </c>
      <c r="H17">
        <v>16.385000000000002</v>
      </c>
      <c r="J17">
        <f>B17-F17</f>
        <v>11.939999999999998</v>
      </c>
      <c r="K17">
        <f>C17-G17</f>
        <v>11.184999999999999</v>
      </c>
      <c r="L17">
        <f>D17-H17</f>
        <v>12.558999999999997</v>
      </c>
      <c r="N17">
        <f>AVERAGE(L17,J17)</f>
        <v>12.249499999999998</v>
      </c>
      <c r="O17">
        <f>STDEV(J17,L17)</f>
        <v>0.43769909755447273</v>
      </c>
      <c r="Q17">
        <f>N17-N17</f>
        <v>0</v>
      </c>
      <c r="S17">
        <f>POWER(2,-Q17)</f>
        <v>1</v>
      </c>
    </row>
    <row r="18" spans="1:19">
      <c r="A18" t="s">
        <v>6</v>
      </c>
      <c r="B18">
        <v>29.484999999999999</v>
      </c>
      <c r="C18">
        <v>28.184000000000001</v>
      </c>
      <c r="D18">
        <v>29.484999999999999</v>
      </c>
      <c r="F18">
        <v>16.54</v>
      </c>
      <c r="G18">
        <v>16.22</v>
      </c>
      <c r="H18">
        <v>16.943000000000001</v>
      </c>
      <c r="J18">
        <f t="shared" ref="J18:L20" si="8">B18-F18</f>
        <v>12.945</v>
      </c>
      <c r="K18">
        <f t="shared" si="8"/>
        <v>11.964000000000002</v>
      </c>
      <c r="L18">
        <f t="shared" si="8"/>
        <v>12.541999999999998</v>
      </c>
      <c r="N18">
        <f t="shared" ref="N18" si="9">AVERAGE(J18:L18)</f>
        <v>12.483666666666666</v>
      </c>
      <c r="O18">
        <f t="shared" ref="O18" si="10">STDEV(J18:L18)</f>
        <v>0.49309464946735349</v>
      </c>
      <c r="Q18">
        <f>N18-N17</f>
        <v>0.23416666666666863</v>
      </c>
      <c r="S18">
        <f t="shared" ref="S18" si="11">POWER(2,-Q18)</f>
        <v>0.85017593821502857</v>
      </c>
    </row>
    <row r="19" spans="1:19">
      <c r="A19" t="s">
        <v>218</v>
      </c>
      <c r="B19">
        <v>30.481999999999999</v>
      </c>
      <c r="C19">
        <v>30.193000000000001</v>
      </c>
      <c r="D19">
        <v>30.823</v>
      </c>
      <c r="F19">
        <v>18.385000000000002</v>
      </c>
      <c r="G19">
        <v>18.814</v>
      </c>
      <c r="H19">
        <v>18.385000000000002</v>
      </c>
      <c r="J19">
        <f t="shared" si="8"/>
        <v>12.096999999999998</v>
      </c>
      <c r="K19">
        <f>C19-G19</f>
        <v>11.379000000000001</v>
      </c>
      <c r="L19">
        <f>D19-H19</f>
        <v>12.437999999999999</v>
      </c>
      <c r="N19">
        <f>AVERAGE(L19,J19)</f>
        <v>12.267499999999998</v>
      </c>
      <c r="O19">
        <f>STDEV(J19,L19)</f>
        <v>0.24112341238461346</v>
      </c>
      <c r="Q19">
        <f>N19-N17</f>
        <v>1.8000000000000682E-2</v>
      </c>
      <c r="S19">
        <f>POWER(2,-Q19)</f>
        <v>0.98760086144537218</v>
      </c>
    </row>
    <row r="20" spans="1:19">
      <c r="A20" t="s">
        <v>52</v>
      </c>
      <c r="B20">
        <v>30.448</v>
      </c>
      <c r="C20">
        <v>30.181999999999999</v>
      </c>
      <c r="D20">
        <v>30.484999999999999</v>
      </c>
      <c r="F20">
        <v>17.544</v>
      </c>
      <c r="G20">
        <v>17.984000000000002</v>
      </c>
      <c r="H20">
        <v>17.393999999999998</v>
      </c>
      <c r="J20">
        <f t="shared" si="8"/>
        <v>12.904</v>
      </c>
      <c r="K20">
        <f>C20-G20</f>
        <v>12.197999999999997</v>
      </c>
      <c r="L20">
        <f>D20-H20</f>
        <v>13.091000000000001</v>
      </c>
      <c r="N20">
        <f>AVERAGE(L20,J20)</f>
        <v>12.9975</v>
      </c>
      <c r="O20">
        <f>STDEV(J20,L20)</f>
        <v>0.13222896808188522</v>
      </c>
      <c r="Q20">
        <f>N20-N17</f>
        <v>0.74800000000000288</v>
      </c>
      <c r="S20">
        <f>POWER(2,-Q20)</f>
        <v>0.59542842468248292</v>
      </c>
    </row>
    <row r="22" spans="1:19">
      <c r="A22" s="51" t="s">
        <v>221</v>
      </c>
    </row>
    <row r="23" spans="1:19">
      <c r="A23" t="s">
        <v>5</v>
      </c>
      <c r="B23">
        <v>27.843</v>
      </c>
      <c r="C23">
        <v>27.734000000000002</v>
      </c>
      <c r="D23">
        <v>27.395</v>
      </c>
      <c r="F23">
        <v>18.437999999999999</v>
      </c>
      <c r="G23">
        <v>18.347999999999999</v>
      </c>
      <c r="H23">
        <v>18.943999999999999</v>
      </c>
      <c r="J23">
        <f>B23-F23</f>
        <v>9.4050000000000011</v>
      </c>
      <c r="K23">
        <f>C23-G23</f>
        <v>9.3860000000000028</v>
      </c>
      <c r="L23">
        <f>D23-H23</f>
        <v>8.4510000000000005</v>
      </c>
      <c r="N23">
        <f>AVERAGE(L23,J23)</f>
        <v>8.9280000000000008</v>
      </c>
      <c r="O23">
        <f>STDEV(J23,L23)</f>
        <v>0.67457986925196678</v>
      </c>
      <c r="Q23">
        <f>N23-N23</f>
        <v>0</v>
      </c>
      <c r="S23">
        <f>POWER(2,-Q23)</f>
        <v>1</v>
      </c>
    </row>
    <row r="24" spans="1:19">
      <c r="A24" t="s">
        <v>6</v>
      </c>
      <c r="B24">
        <v>27.92</v>
      </c>
      <c r="C24">
        <v>27.881</v>
      </c>
      <c r="D24">
        <v>27.033999999999999</v>
      </c>
      <c r="F24">
        <v>17.248000000000001</v>
      </c>
      <c r="G24">
        <v>17.954000000000001</v>
      </c>
      <c r="H24">
        <v>17.431999999999999</v>
      </c>
      <c r="J24">
        <f t="shared" ref="J24:L26" si="12">B24-F24</f>
        <v>10.672000000000001</v>
      </c>
      <c r="K24">
        <f t="shared" si="12"/>
        <v>9.9269999999999996</v>
      </c>
      <c r="L24">
        <f t="shared" si="12"/>
        <v>9.6020000000000003</v>
      </c>
      <c r="N24">
        <f t="shared" ref="N24" si="13">AVERAGE(J24:L24)</f>
        <v>10.067</v>
      </c>
      <c r="O24">
        <f t="shared" ref="O24" si="14">STDEV(J24:L24)</f>
        <v>0.54856631322019789</v>
      </c>
      <c r="Q24">
        <f>N24-N23</f>
        <v>1.1389999999999993</v>
      </c>
      <c r="S24">
        <f t="shared" ref="S24" si="15">POWER(2,-Q24)</f>
        <v>0.45407420886075495</v>
      </c>
    </row>
    <row r="25" spans="1:19">
      <c r="A25" t="s">
        <v>218</v>
      </c>
      <c r="B25">
        <v>30.48</v>
      </c>
      <c r="C25">
        <v>30.742999999999999</v>
      </c>
      <c r="D25">
        <v>30.286999999999999</v>
      </c>
      <c r="F25">
        <v>16.545000000000002</v>
      </c>
      <c r="G25">
        <v>16.827000000000002</v>
      </c>
      <c r="H25">
        <v>16.384</v>
      </c>
      <c r="J25">
        <f t="shared" si="12"/>
        <v>13.934999999999999</v>
      </c>
      <c r="K25">
        <f>C25-G25</f>
        <v>13.915999999999997</v>
      </c>
      <c r="L25">
        <f>D25-H25</f>
        <v>13.902999999999999</v>
      </c>
      <c r="N25">
        <f>AVERAGE(L25,J25)</f>
        <v>13.918999999999999</v>
      </c>
      <c r="O25">
        <f>STDEV(J25,L25)</f>
        <v>2.2627416997969541E-2</v>
      </c>
      <c r="Q25">
        <f>N25-N23</f>
        <v>4.9909999999999979</v>
      </c>
      <c r="S25">
        <f>POWER(2,-Q25)</f>
        <v>3.1445556984305734E-2</v>
      </c>
    </row>
    <row r="26" spans="1:19">
      <c r="A26" t="s">
        <v>52</v>
      </c>
      <c r="B26">
        <v>31.824000000000002</v>
      </c>
      <c r="C26">
        <v>31.294</v>
      </c>
      <c r="D26">
        <v>31.384</v>
      </c>
      <c r="F26">
        <v>17.244</v>
      </c>
      <c r="G26">
        <v>17.344999999999999</v>
      </c>
      <c r="H26">
        <v>17.294</v>
      </c>
      <c r="J26">
        <f t="shared" si="12"/>
        <v>14.580000000000002</v>
      </c>
      <c r="K26">
        <f>C26-G26</f>
        <v>13.949000000000002</v>
      </c>
      <c r="L26">
        <f>D26-H26</f>
        <v>14.09</v>
      </c>
      <c r="N26">
        <f>AVERAGE(L26,J26)</f>
        <v>14.335000000000001</v>
      </c>
      <c r="O26">
        <f>STDEV(J26,L26)</f>
        <v>0.34648232278140967</v>
      </c>
      <c r="Q26">
        <f>N26-N23</f>
        <v>5.407</v>
      </c>
      <c r="S26">
        <f>POWER(2,-Q26)</f>
        <v>2.3568438698227796E-2</v>
      </c>
    </row>
    <row r="28" spans="1:19">
      <c r="A28" s="51" t="s">
        <v>222</v>
      </c>
    </row>
    <row r="29" spans="1:19">
      <c r="A29" t="s">
        <v>5</v>
      </c>
      <c r="B29">
        <v>28.667999999999999</v>
      </c>
      <c r="C29">
        <v>28.184000000000001</v>
      </c>
      <c r="D29">
        <v>28.154</v>
      </c>
      <c r="F29">
        <v>16.745000000000001</v>
      </c>
      <c r="G29">
        <v>16.948</v>
      </c>
      <c r="H29">
        <v>16.283999999999999</v>
      </c>
      <c r="J29">
        <f>B29-F29</f>
        <v>11.922999999999998</v>
      </c>
      <c r="K29">
        <f>C29-G29</f>
        <v>11.236000000000001</v>
      </c>
      <c r="L29">
        <f>D29-H29</f>
        <v>11.870000000000001</v>
      </c>
      <c r="N29">
        <f>AVERAGE(L29,J29)</f>
        <v>11.8965</v>
      </c>
      <c r="O29">
        <f>STDEV(J29,L29)</f>
        <v>3.7476659402885089E-2</v>
      </c>
      <c r="Q29">
        <f>N29-N29</f>
        <v>0</v>
      </c>
      <c r="S29">
        <f>POWER(2,-Q29)</f>
        <v>1</v>
      </c>
    </row>
    <row r="30" spans="1:19">
      <c r="A30" t="s">
        <v>6</v>
      </c>
      <c r="B30">
        <v>28.734000000000002</v>
      </c>
      <c r="C30">
        <v>28.628</v>
      </c>
      <c r="D30">
        <v>28.884</v>
      </c>
      <c r="F30">
        <v>16.661999999999999</v>
      </c>
      <c r="G30">
        <v>16.143000000000001</v>
      </c>
      <c r="H30">
        <v>16.931999999999999</v>
      </c>
      <c r="J30">
        <f t="shared" ref="J30:L32" si="16">B30-F30</f>
        <v>12.072000000000003</v>
      </c>
      <c r="K30">
        <f t="shared" si="16"/>
        <v>12.484999999999999</v>
      </c>
      <c r="L30">
        <f t="shared" si="16"/>
        <v>11.952000000000002</v>
      </c>
      <c r="N30">
        <f t="shared" ref="N30" si="17">AVERAGE(J30:L30)</f>
        <v>12.169666666666666</v>
      </c>
      <c r="O30">
        <f t="shared" ref="O30" si="18">STDEV(J30:L30)</f>
        <v>0.27960030996644569</v>
      </c>
      <c r="Q30">
        <f>N30-N29</f>
        <v>0.27316666666666656</v>
      </c>
      <c r="S30">
        <f t="shared" ref="S30" si="19">POWER(2,-Q30)</f>
        <v>0.82750121386722786</v>
      </c>
    </row>
    <row r="31" spans="1:19">
      <c r="A31" t="s">
        <v>218</v>
      </c>
      <c r="B31">
        <v>29.853000000000002</v>
      </c>
      <c r="C31">
        <v>29.183</v>
      </c>
      <c r="D31">
        <v>29.834</v>
      </c>
      <c r="F31">
        <v>16.384</v>
      </c>
      <c r="G31">
        <v>16.364000000000001</v>
      </c>
      <c r="H31">
        <v>16.283999999999999</v>
      </c>
      <c r="J31">
        <f t="shared" si="16"/>
        <v>13.469000000000001</v>
      </c>
      <c r="K31">
        <f>C31-G31</f>
        <v>12.818999999999999</v>
      </c>
      <c r="L31">
        <f>D31-H31</f>
        <v>13.55</v>
      </c>
      <c r="N31">
        <f>AVERAGE(L31,J31)</f>
        <v>13.509500000000001</v>
      </c>
      <c r="O31">
        <f>STDEV(J31,L31)</f>
        <v>5.7275649276110008E-2</v>
      </c>
      <c r="Q31">
        <f>N31-N29</f>
        <v>1.6130000000000013</v>
      </c>
      <c r="S31">
        <f>POWER(2,-Q31)</f>
        <v>0.32691783713418943</v>
      </c>
    </row>
    <row r="32" spans="1:19">
      <c r="A32" t="s">
        <v>52</v>
      </c>
      <c r="B32">
        <v>31.181999999999999</v>
      </c>
      <c r="C32">
        <v>31.288</v>
      </c>
      <c r="D32">
        <v>31.119</v>
      </c>
      <c r="F32">
        <v>16.541</v>
      </c>
      <c r="G32">
        <v>16.234999999999999</v>
      </c>
      <c r="H32">
        <v>16.853000000000002</v>
      </c>
      <c r="J32">
        <f t="shared" si="16"/>
        <v>14.640999999999998</v>
      </c>
      <c r="K32">
        <f>C32-G32</f>
        <v>15.053000000000001</v>
      </c>
      <c r="L32">
        <f>D32-H32</f>
        <v>14.265999999999998</v>
      </c>
      <c r="N32">
        <f>AVERAGE(L32,J32)</f>
        <v>14.453499999999998</v>
      </c>
      <c r="O32">
        <f>STDEV(J32,L32)</f>
        <v>0.2651650429449553</v>
      </c>
      <c r="Q32">
        <f>N32-N29</f>
        <v>2.5569999999999986</v>
      </c>
      <c r="S32">
        <f>POWER(2,-Q32)</f>
        <v>0.16992853023834253</v>
      </c>
    </row>
  </sheetData>
  <mergeCells count="2">
    <mergeCell ref="B2:D2"/>
    <mergeCell ref="F2:H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workbookViewId="0">
      <selection activeCell="F2" sqref="F2:H2"/>
    </sheetView>
  </sheetViews>
  <sheetFormatPr defaultRowHeight="15"/>
  <cols>
    <col min="1" max="1" width="27" customWidth="1"/>
    <col min="2" max="2" width="12.5703125" customWidth="1"/>
    <col min="11" max="11" width="12.7109375" bestFit="1" customWidth="1"/>
  </cols>
  <sheetData>
    <row r="1" spans="1:19">
      <c r="A1" t="s">
        <v>406</v>
      </c>
    </row>
    <row r="2" spans="1:19">
      <c r="B2" s="72" t="s">
        <v>207</v>
      </c>
      <c r="C2" s="72"/>
      <c r="D2" s="72"/>
      <c r="F2" s="72" t="s">
        <v>459</v>
      </c>
      <c r="G2" s="72"/>
      <c r="H2" s="72"/>
      <c r="J2" s="54" t="s">
        <v>208</v>
      </c>
      <c r="N2" t="s">
        <v>209</v>
      </c>
      <c r="O2" t="s">
        <v>210</v>
      </c>
      <c r="Q2" t="s">
        <v>211</v>
      </c>
      <c r="S2" t="s">
        <v>212</v>
      </c>
    </row>
    <row r="3" spans="1:19">
      <c r="A3" t="s">
        <v>240</v>
      </c>
      <c r="B3" t="s">
        <v>213</v>
      </c>
      <c r="C3" t="s">
        <v>214</v>
      </c>
      <c r="D3" t="s">
        <v>215</v>
      </c>
      <c r="F3" t="s">
        <v>216</v>
      </c>
      <c r="G3" t="s">
        <v>214</v>
      </c>
      <c r="H3" t="s">
        <v>215</v>
      </c>
    </row>
    <row r="4" spans="1:19">
      <c r="A4" s="51" t="s">
        <v>217</v>
      </c>
    </row>
    <row r="5" spans="1:19">
      <c r="A5" t="s">
        <v>5</v>
      </c>
      <c r="B5">
        <v>27.439</v>
      </c>
      <c r="C5">
        <v>27.192</v>
      </c>
      <c r="D5">
        <v>27.632999999999999</v>
      </c>
      <c r="F5">
        <v>18.384</v>
      </c>
      <c r="G5">
        <v>18.338999999999999</v>
      </c>
      <c r="H5">
        <v>18.242999999999999</v>
      </c>
      <c r="J5">
        <f>B5-F5</f>
        <v>9.0549999999999997</v>
      </c>
      <c r="K5">
        <f>C5-G5</f>
        <v>8.8530000000000015</v>
      </c>
      <c r="L5">
        <f>D5-H5</f>
        <v>9.39</v>
      </c>
      <c r="N5">
        <f>AVERAGE(L5,J5)</f>
        <v>9.2225000000000001</v>
      </c>
      <c r="O5">
        <f>STDEV(J5,L5)</f>
        <v>0.23688077169749402</v>
      </c>
      <c r="Q5">
        <f>N5-N5</f>
        <v>0</v>
      </c>
      <c r="S5">
        <f>POWER(2,-Q5)</f>
        <v>1</v>
      </c>
    </row>
    <row r="6" spans="1:19">
      <c r="A6" t="s">
        <v>6</v>
      </c>
      <c r="B6">
        <v>28.184000000000001</v>
      </c>
      <c r="C6">
        <v>28.844999999999999</v>
      </c>
      <c r="D6">
        <v>28.843</v>
      </c>
      <c r="F6">
        <v>17.294</v>
      </c>
      <c r="G6">
        <v>17.123000000000001</v>
      </c>
      <c r="H6">
        <v>17.391999999999999</v>
      </c>
      <c r="J6">
        <f t="shared" ref="J6:L8" si="0">B6-F6</f>
        <v>10.89</v>
      </c>
      <c r="K6">
        <f t="shared" si="0"/>
        <v>11.721999999999998</v>
      </c>
      <c r="L6">
        <f t="shared" si="0"/>
        <v>11.451000000000001</v>
      </c>
      <c r="N6">
        <f t="shared" ref="N6" si="1">AVERAGE(J6:L6)</f>
        <v>11.354333333333335</v>
      </c>
      <c r="O6">
        <f t="shared" ref="O6" si="2">STDEV(J6:L6)</f>
        <v>0.42433987949912538</v>
      </c>
      <c r="Q6">
        <f>N6-N5</f>
        <v>2.1318333333333346</v>
      </c>
      <c r="S6">
        <f t="shared" ref="S6" si="3">POWER(2,-Q6)</f>
        <v>0.22816772958311018</v>
      </c>
    </row>
    <row r="7" spans="1:19">
      <c r="A7" t="s">
        <v>218</v>
      </c>
      <c r="B7">
        <v>28.193000000000001</v>
      </c>
      <c r="C7">
        <v>28.437999999999999</v>
      </c>
      <c r="D7">
        <v>28.003</v>
      </c>
      <c r="F7">
        <v>16.439</v>
      </c>
      <c r="G7">
        <v>16.239000000000001</v>
      </c>
      <c r="H7">
        <v>16.233000000000001</v>
      </c>
      <c r="J7">
        <f t="shared" si="0"/>
        <v>11.754000000000001</v>
      </c>
      <c r="K7">
        <f>C7-G7</f>
        <v>12.198999999999998</v>
      </c>
      <c r="L7">
        <f>D7-H7</f>
        <v>11.77</v>
      </c>
      <c r="N7">
        <f>AVERAGE(L7,J7)</f>
        <v>11.762</v>
      </c>
      <c r="O7">
        <f>STDEV(J7,L7)</f>
        <v>1.1313708498983515E-2</v>
      </c>
      <c r="Q7">
        <f>N7-N5</f>
        <v>2.5395000000000003</v>
      </c>
      <c r="S7">
        <f>POWER(2,-Q7)</f>
        <v>0.17200232840327276</v>
      </c>
    </row>
    <row r="8" spans="1:19">
      <c r="A8" t="s">
        <v>52</v>
      </c>
      <c r="B8">
        <v>29.823</v>
      </c>
      <c r="C8">
        <v>29.184000000000001</v>
      </c>
      <c r="D8">
        <v>29.843</v>
      </c>
      <c r="F8">
        <v>16.393999999999998</v>
      </c>
      <c r="G8">
        <v>16.231999999999999</v>
      </c>
      <c r="H8">
        <v>16.824000000000002</v>
      </c>
      <c r="J8">
        <f t="shared" si="0"/>
        <v>13.429000000000002</v>
      </c>
      <c r="K8">
        <f>C8-G8</f>
        <v>12.952000000000002</v>
      </c>
      <c r="L8">
        <f>D8-H8</f>
        <v>13.018999999999998</v>
      </c>
      <c r="N8">
        <f>AVERAGE(L8,J8)</f>
        <v>13.224</v>
      </c>
      <c r="O8">
        <f>STDEV(J8,L8)</f>
        <v>0.28991378028648707</v>
      </c>
      <c r="Q8">
        <f>N8-N5</f>
        <v>4.0015000000000001</v>
      </c>
      <c r="S8">
        <f>POWER(2,-Q8)</f>
        <v>6.2435051221970198E-2</v>
      </c>
    </row>
    <row r="10" spans="1:19">
      <c r="A10" s="51" t="s">
        <v>219</v>
      </c>
    </row>
    <row r="11" spans="1:19">
      <c r="A11" t="s">
        <v>5</v>
      </c>
      <c r="B11">
        <v>25.943000000000001</v>
      </c>
      <c r="C11">
        <v>25.294</v>
      </c>
      <c r="D11">
        <v>25.294</v>
      </c>
      <c r="F11">
        <v>18.384</v>
      </c>
      <c r="G11">
        <v>18.384</v>
      </c>
      <c r="H11">
        <v>18.283999999999999</v>
      </c>
      <c r="J11">
        <f>B11-F11</f>
        <v>7.5590000000000011</v>
      </c>
      <c r="K11">
        <f>C11-G11</f>
        <v>6.91</v>
      </c>
      <c r="L11">
        <f>D11-H11</f>
        <v>7.0100000000000016</v>
      </c>
      <c r="N11">
        <f>AVERAGE(L11,J11)</f>
        <v>7.2845000000000013</v>
      </c>
      <c r="O11">
        <f>STDEV(J11,L11)</f>
        <v>0.38820162287141424</v>
      </c>
      <c r="Q11">
        <f>N11-N11</f>
        <v>0</v>
      </c>
      <c r="S11">
        <f>POWER(2,-Q11)</f>
        <v>1</v>
      </c>
    </row>
    <row r="12" spans="1:19">
      <c r="A12" t="s">
        <v>6</v>
      </c>
      <c r="B12">
        <v>26.548999999999999</v>
      </c>
      <c r="C12">
        <v>26.193999999999999</v>
      </c>
      <c r="D12">
        <v>26.544</v>
      </c>
      <c r="F12">
        <v>17.274000000000001</v>
      </c>
      <c r="G12">
        <v>17.119</v>
      </c>
      <c r="H12">
        <v>17.393999999999998</v>
      </c>
      <c r="J12">
        <f t="shared" ref="J12:L14" si="4">B12-F12</f>
        <v>9.2749999999999986</v>
      </c>
      <c r="K12">
        <f t="shared" si="4"/>
        <v>9.0749999999999993</v>
      </c>
      <c r="L12">
        <f t="shared" si="4"/>
        <v>9.1500000000000021</v>
      </c>
      <c r="N12">
        <f t="shared" ref="N12" si="5">AVERAGE(J12:L12)</f>
        <v>9.1666666666666661</v>
      </c>
      <c r="O12">
        <f t="shared" ref="O12" si="6">STDEV(J12:L12)</f>
        <v>0.10103629710818389</v>
      </c>
      <c r="Q12">
        <f>N12-N11</f>
        <v>1.8821666666666648</v>
      </c>
      <c r="S12">
        <f t="shared" ref="S12" si="7">POWER(2,-Q12)</f>
        <v>0.27127600212749758</v>
      </c>
    </row>
    <row r="13" spans="1:19">
      <c r="A13" t="s">
        <v>218</v>
      </c>
      <c r="B13">
        <v>26.395</v>
      </c>
      <c r="C13">
        <v>26.395</v>
      </c>
      <c r="D13">
        <v>26.492999999999999</v>
      </c>
      <c r="F13">
        <v>17.283999999999999</v>
      </c>
      <c r="G13">
        <v>17.242999999999999</v>
      </c>
      <c r="H13">
        <v>17.132000000000001</v>
      </c>
      <c r="J13">
        <f t="shared" si="4"/>
        <v>9.1110000000000007</v>
      </c>
      <c r="K13">
        <f>C13-G13</f>
        <v>9.152000000000001</v>
      </c>
      <c r="L13">
        <f>D13-H13</f>
        <v>9.3609999999999971</v>
      </c>
      <c r="N13">
        <f>AVERAGE(L13,J13)</f>
        <v>9.2359999999999989</v>
      </c>
      <c r="O13">
        <f>STDEV(J13,L13)</f>
        <v>0.17677669529663437</v>
      </c>
      <c r="Q13">
        <f>N13-N11</f>
        <v>1.9514999999999976</v>
      </c>
      <c r="S13">
        <f>POWER(2,-Q13)</f>
        <v>0.25854727419338236</v>
      </c>
    </row>
    <row r="14" spans="1:19">
      <c r="A14" t="s">
        <v>52</v>
      </c>
      <c r="B14">
        <v>28.448</v>
      </c>
      <c r="C14">
        <v>28.184000000000001</v>
      </c>
      <c r="D14">
        <v>28.434999999999999</v>
      </c>
      <c r="F14">
        <v>16.384</v>
      </c>
      <c r="G14">
        <v>16.283000000000001</v>
      </c>
      <c r="H14">
        <v>16.234000000000002</v>
      </c>
      <c r="J14">
        <f t="shared" si="4"/>
        <v>12.064</v>
      </c>
      <c r="K14">
        <f>C14-G14</f>
        <v>11.901</v>
      </c>
      <c r="L14">
        <f>D14-H14</f>
        <v>12.200999999999997</v>
      </c>
      <c r="N14">
        <f>AVERAGE(L14,J14)</f>
        <v>12.132499999999999</v>
      </c>
      <c r="O14">
        <f>STDEV(J14,L14)</f>
        <v>9.6873629022554822E-2</v>
      </c>
      <c r="Q14">
        <f>N14-N11</f>
        <v>4.8479999999999972</v>
      </c>
      <c r="S14">
        <f>POWER(2,-Q14)</f>
        <v>3.4722147770471744E-2</v>
      </c>
    </row>
    <row r="16" spans="1:19">
      <c r="A16" s="51" t="s">
        <v>241</v>
      </c>
    </row>
    <row r="17" spans="1:19">
      <c r="A17" t="s">
        <v>5</v>
      </c>
      <c r="B17">
        <v>24.548999999999999</v>
      </c>
      <c r="C17">
        <v>24.594000000000001</v>
      </c>
      <c r="D17">
        <v>24.184999999999999</v>
      </c>
      <c r="F17">
        <v>17.933</v>
      </c>
      <c r="G17">
        <v>17.119</v>
      </c>
      <c r="H17">
        <v>17.943000000000001</v>
      </c>
      <c r="J17">
        <f>B17-F17</f>
        <v>6.6159999999999997</v>
      </c>
      <c r="K17">
        <f>C17-G17</f>
        <v>7.4750000000000014</v>
      </c>
      <c r="L17">
        <f>D17-H17</f>
        <v>6.2419999999999973</v>
      </c>
      <c r="N17">
        <f>AVERAGE(L17,J17)</f>
        <v>6.4289999999999985</v>
      </c>
      <c r="O17">
        <f>STDEV(J17,L17)</f>
        <v>0.26445793616377045</v>
      </c>
      <c r="Q17">
        <f>N17-N17</f>
        <v>0</v>
      </c>
      <c r="S17">
        <f>POWER(2,-Q17)</f>
        <v>1</v>
      </c>
    </row>
    <row r="18" spans="1:19">
      <c r="A18" t="s">
        <v>6</v>
      </c>
      <c r="B18">
        <v>25.559000000000001</v>
      </c>
      <c r="C18">
        <v>25.859000000000002</v>
      </c>
      <c r="D18">
        <v>25.634</v>
      </c>
      <c r="F18">
        <v>17.172000000000001</v>
      </c>
      <c r="G18">
        <v>17.172999999999998</v>
      </c>
      <c r="H18">
        <v>17.443000000000001</v>
      </c>
      <c r="J18">
        <f t="shared" ref="J18:L20" si="8">B18-F18</f>
        <v>8.3870000000000005</v>
      </c>
      <c r="K18">
        <f t="shared" si="8"/>
        <v>8.6860000000000035</v>
      </c>
      <c r="L18">
        <f t="shared" si="8"/>
        <v>8.1909999999999989</v>
      </c>
      <c r="N18">
        <f t="shared" ref="N18" si="9">AVERAGE(J18:L18)</f>
        <v>8.4213333333333349</v>
      </c>
      <c r="O18">
        <f t="shared" ref="O18" si="10">STDEV(J18:L18)</f>
        <v>0.24927962879732968</v>
      </c>
      <c r="Q18">
        <f>N18-N17</f>
        <v>1.9923333333333364</v>
      </c>
      <c r="S18">
        <f t="shared" ref="S18" si="11">POWER(2,-Q18)</f>
        <v>0.25133206835239835</v>
      </c>
    </row>
    <row r="19" spans="1:19">
      <c r="A19" t="s">
        <v>218</v>
      </c>
      <c r="B19">
        <v>27.584</v>
      </c>
      <c r="C19">
        <v>27.529</v>
      </c>
      <c r="D19">
        <v>27.1843</v>
      </c>
      <c r="F19">
        <v>16.843</v>
      </c>
      <c r="G19">
        <v>16.228000000000002</v>
      </c>
      <c r="H19">
        <v>16.384</v>
      </c>
      <c r="J19">
        <f t="shared" si="8"/>
        <v>10.741</v>
      </c>
      <c r="K19">
        <f>C19-G19</f>
        <v>11.300999999999998</v>
      </c>
      <c r="L19">
        <f>D19-H19</f>
        <v>10.8003</v>
      </c>
      <c r="N19">
        <f>AVERAGE(L19,J19)</f>
        <v>10.77065</v>
      </c>
      <c r="O19">
        <f>STDEV(J19,L19)</f>
        <v>4.1931432124362518E-2</v>
      </c>
      <c r="Q19">
        <f>N19-N17</f>
        <v>4.3416500000000013</v>
      </c>
      <c r="S19">
        <f>POWER(2,-Q19)</f>
        <v>4.9321141485543257E-2</v>
      </c>
    </row>
    <row r="20" spans="1:19">
      <c r="A20" t="s">
        <v>52</v>
      </c>
      <c r="B20">
        <v>28.228000000000002</v>
      </c>
      <c r="C20">
        <v>28.373999999999999</v>
      </c>
      <c r="D20">
        <v>28.349</v>
      </c>
      <c r="F20">
        <v>16.238</v>
      </c>
      <c r="G20">
        <v>16.821999999999999</v>
      </c>
      <c r="H20">
        <v>16.234000000000002</v>
      </c>
      <c r="J20">
        <f t="shared" si="8"/>
        <v>11.990000000000002</v>
      </c>
      <c r="K20">
        <f>C20-G20</f>
        <v>11.552</v>
      </c>
      <c r="L20">
        <f>D20-H20</f>
        <v>12.114999999999998</v>
      </c>
      <c r="N20">
        <f>AVERAGE(L20,J20)</f>
        <v>12.0525</v>
      </c>
      <c r="O20">
        <f>STDEV(J20,L20)</f>
        <v>8.8388347648315935E-2</v>
      </c>
      <c r="Q20">
        <f>N20-N17</f>
        <v>5.6235000000000017</v>
      </c>
      <c r="S20">
        <f>POWER(2,-Q20)</f>
        <v>2.0284196982339107E-2</v>
      </c>
    </row>
    <row r="22" spans="1:19">
      <c r="A22" s="51" t="s">
        <v>221</v>
      </c>
    </row>
    <row r="23" spans="1:19">
      <c r="A23" t="s">
        <v>5</v>
      </c>
      <c r="B23">
        <v>25.693000000000001</v>
      </c>
      <c r="C23">
        <v>25.934999999999999</v>
      </c>
      <c r="D23">
        <v>25.934000000000001</v>
      </c>
      <c r="F23">
        <v>16.943000000000001</v>
      </c>
      <c r="G23">
        <v>16.992999999999999</v>
      </c>
      <c r="H23">
        <v>16.393999999999998</v>
      </c>
      <c r="J23">
        <f>B23-F23</f>
        <v>8.75</v>
      </c>
      <c r="K23">
        <f>C23-G23</f>
        <v>8.9420000000000002</v>
      </c>
      <c r="L23">
        <f>D23-H23</f>
        <v>9.5400000000000027</v>
      </c>
      <c r="N23">
        <f>AVERAGE(L23,J23)</f>
        <v>9.1450000000000014</v>
      </c>
      <c r="O23">
        <f>STDEV(J23,L23)</f>
        <v>0.55861435713737451</v>
      </c>
      <c r="Q23">
        <f>N23-N23</f>
        <v>0</v>
      </c>
      <c r="S23">
        <f>POWER(2,-Q23)</f>
        <v>1</v>
      </c>
    </row>
    <row r="24" spans="1:19">
      <c r="A24" t="s">
        <v>6</v>
      </c>
      <c r="B24">
        <v>27.548999999999999</v>
      </c>
      <c r="C24">
        <v>27.193999999999999</v>
      </c>
      <c r="D24">
        <v>27.004000000000001</v>
      </c>
      <c r="F24">
        <v>17.385000000000002</v>
      </c>
      <c r="G24">
        <v>17.194299999999998</v>
      </c>
      <c r="H24">
        <v>17.228999999999999</v>
      </c>
      <c r="J24">
        <f t="shared" ref="J24:L26" si="12">B24-F24</f>
        <v>10.163999999999998</v>
      </c>
      <c r="K24">
        <f t="shared" si="12"/>
        <v>9.9997000000000007</v>
      </c>
      <c r="L24">
        <f t="shared" si="12"/>
        <v>9.7750000000000021</v>
      </c>
      <c r="N24">
        <f t="shared" ref="N24" si="13">AVERAGE(J24:L24)</f>
        <v>9.9795666666666669</v>
      </c>
      <c r="O24">
        <f t="shared" ref="O24" si="14">STDEV(J24:L24)</f>
        <v>0.19527996142290824</v>
      </c>
      <c r="Q24">
        <f>N24-N23</f>
        <v>0.83456666666666557</v>
      </c>
      <c r="S24">
        <f t="shared" ref="S24" si="15">POWER(2,-Q24)</f>
        <v>0.56075144314385617</v>
      </c>
    </row>
    <row r="25" spans="1:19">
      <c r="A25" t="s">
        <v>218</v>
      </c>
      <c r="B25">
        <v>28.228000000000002</v>
      </c>
      <c r="C25">
        <v>28.183</v>
      </c>
      <c r="D25">
        <v>28.542000000000002</v>
      </c>
      <c r="F25">
        <v>18.483000000000001</v>
      </c>
      <c r="G25">
        <v>18.181999999999999</v>
      </c>
      <c r="H25">
        <v>18.337</v>
      </c>
      <c r="J25">
        <f t="shared" si="12"/>
        <v>9.745000000000001</v>
      </c>
      <c r="K25">
        <f>C25-G25</f>
        <v>10.001000000000001</v>
      </c>
      <c r="L25">
        <f>D25-H25</f>
        <v>10.205000000000002</v>
      </c>
      <c r="N25">
        <f>AVERAGE(L25,J25)</f>
        <v>9.9750000000000014</v>
      </c>
      <c r="O25">
        <f>STDEV(J25,L25)</f>
        <v>0.32526911934581249</v>
      </c>
      <c r="Q25">
        <f>N25-N23</f>
        <v>0.83000000000000007</v>
      </c>
      <c r="S25">
        <f>POWER(2,-Q25)</f>
        <v>0.56252924234440471</v>
      </c>
    </row>
    <row r="26" spans="1:19">
      <c r="A26" t="s">
        <v>52</v>
      </c>
      <c r="B26">
        <v>30.385000000000002</v>
      </c>
      <c r="C26">
        <v>30.384</v>
      </c>
      <c r="D26">
        <v>30.475000000000001</v>
      </c>
      <c r="F26">
        <v>17.472000000000001</v>
      </c>
      <c r="G26">
        <v>17.733000000000001</v>
      </c>
      <c r="H26">
        <v>17.745999999999999</v>
      </c>
      <c r="J26">
        <f t="shared" si="12"/>
        <v>12.913</v>
      </c>
      <c r="K26">
        <f>C26-G26</f>
        <v>12.651</v>
      </c>
      <c r="L26">
        <f>D26-H26</f>
        <v>12.729000000000003</v>
      </c>
      <c r="N26">
        <f>AVERAGE(L26,J26)</f>
        <v>12.821000000000002</v>
      </c>
      <c r="O26">
        <f>STDEV(J26,L26)</f>
        <v>0.13010764773832298</v>
      </c>
      <c r="Q26">
        <f>N26-N23</f>
        <v>3.6760000000000002</v>
      </c>
      <c r="S26">
        <f>POWER(2,-Q26)</f>
        <v>7.8237278665874654E-2</v>
      </c>
    </row>
    <row r="28" spans="1:19">
      <c r="A28" s="51" t="s">
        <v>222</v>
      </c>
    </row>
    <row r="29" spans="1:19">
      <c r="A29" t="s">
        <v>5</v>
      </c>
      <c r="B29">
        <v>25.954000000000001</v>
      </c>
      <c r="C29">
        <v>25.294</v>
      </c>
      <c r="D29">
        <v>25.294</v>
      </c>
      <c r="F29">
        <v>16.385000000000002</v>
      </c>
      <c r="G29">
        <v>16.484999999999999</v>
      </c>
      <c r="H29">
        <v>16.943000000000001</v>
      </c>
      <c r="J29">
        <f>B29-F29</f>
        <v>9.5689999999999991</v>
      </c>
      <c r="K29">
        <f>C29-G29</f>
        <v>8.8090000000000011</v>
      </c>
      <c r="L29">
        <f>D29-H29</f>
        <v>8.3509999999999991</v>
      </c>
      <c r="N29">
        <f>AVERAGE(L29,J29)</f>
        <v>8.9599999999999991</v>
      </c>
      <c r="O29">
        <f>STDEV(J29,L29)</f>
        <v>0.86125605948521489</v>
      </c>
      <c r="Q29">
        <f>N29-N29</f>
        <v>0</v>
      </c>
      <c r="S29">
        <f>POWER(2,-Q29)</f>
        <v>1</v>
      </c>
    </row>
    <row r="30" spans="1:19">
      <c r="A30" t="s">
        <v>6</v>
      </c>
      <c r="B30">
        <v>26.593</v>
      </c>
      <c r="C30">
        <v>26.103000000000002</v>
      </c>
      <c r="D30">
        <v>26.934000000000001</v>
      </c>
      <c r="F30">
        <v>16.484999999999999</v>
      </c>
      <c r="G30">
        <v>16.454999999999998</v>
      </c>
      <c r="H30">
        <v>16.323</v>
      </c>
      <c r="J30">
        <f t="shared" ref="J30:L32" si="16">B30-F30</f>
        <v>10.108000000000001</v>
      </c>
      <c r="K30">
        <f t="shared" si="16"/>
        <v>9.6480000000000032</v>
      </c>
      <c r="L30">
        <f t="shared" si="16"/>
        <v>10.611000000000001</v>
      </c>
      <c r="N30">
        <f t="shared" ref="N30" si="17">AVERAGE(J30:L30)</f>
        <v>10.122333333333335</v>
      </c>
      <c r="O30">
        <f t="shared" ref="O30" si="18">STDEV(J30:L30)</f>
        <v>0.48165997688549139</v>
      </c>
      <c r="Q30">
        <f>N30-N29</f>
        <v>1.1623333333333363</v>
      </c>
      <c r="S30">
        <f t="shared" ref="S30" si="19">POWER(2,-Q30)</f>
        <v>0.44678933899497092</v>
      </c>
    </row>
    <row r="31" spans="1:19">
      <c r="A31" t="s">
        <v>218</v>
      </c>
      <c r="B31">
        <v>26.492999999999999</v>
      </c>
      <c r="C31">
        <v>26.228999999999999</v>
      </c>
      <c r="D31">
        <v>26.193000000000001</v>
      </c>
      <c r="F31">
        <v>16.283999999999999</v>
      </c>
      <c r="G31">
        <v>17.224</v>
      </c>
      <c r="H31">
        <v>16.945</v>
      </c>
      <c r="J31">
        <f t="shared" si="16"/>
        <v>10.209</v>
      </c>
      <c r="K31">
        <f>C31-G31</f>
        <v>9.004999999999999</v>
      </c>
      <c r="L31">
        <f>D31-H31</f>
        <v>9.2480000000000011</v>
      </c>
      <c r="N31">
        <f>AVERAGE(L31,J31)</f>
        <v>9.7285000000000004</v>
      </c>
      <c r="O31">
        <f>STDEV(J31,L31)</f>
        <v>0.67952961672027112</v>
      </c>
      <c r="Q31">
        <f>N31-N29</f>
        <v>0.76850000000000129</v>
      </c>
      <c r="S31">
        <f>POWER(2,-Q31)</f>
        <v>0.58702750211885912</v>
      </c>
    </row>
    <row r="32" spans="1:19">
      <c r="A32" t="s">
        <v>52</v>
      </c>
      <c r="B32">
        <v>28.484999999999999</v>
      </c>
      <c r="C32">
        <v>28.184000000000001</v>
      </c>
      <c r="D32">
        <v>28.492999999999999</v>
      </c>
      <c r="F32">
        <v>18.283999999999999</v>
      </c>
      <c r="G32">
        <v>18.722000000000001</v>
      </c>
      <c r="H32">
        <v>18.385000000000002</v>
      </c>
      <c r="J32">
        <f t="shared" si="16"/>
        <v>10.201000000000001</v>
      </c>
      <c r="K32">
        <f>C32-G32</f>
        <v>9.4619999999999997</v>
      </c>
      <c r="L32">
        <f>D32-H32</f>
        <v>10.107999999999997</v>
      </c>
      <c r="N32">
        <f>AVERAGE(L32,J32)</f>
        <v>10.154499999999999</v>
      </c>
      <c r="O32">
        <f>STDEV(J32,L32)</f>
        <v>6.5760930650351421E-2</v>
      </c>
      <c r="Q32">
        <f>N32-N29</f>
        <v>1.1944999999999997</v>
      </c>
      <c r="S32">
        <f>POWER(2,-Q32)</f>
        <v>0.43693785284075315</v>
      </c>
    </row>
  </sheetData>
  <mergeCells count="2">
    <mergeCell ref="B2:D2"/>
    <mergeCell ref="F2:H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workbookViewId="0">
      <selection activeCell="F2" sqref="F2:H2"/>
    </sheetView>
  </sheetViews>
  <sheetFormatPr defaultRowHeight="15"/>
  <sheetData>
    <row r="1" spans="1:19">
      <c r="A1" t="s">
        <v>403</v>
      </c>
    </row>
    <row r="2" spans="1:19">
      <c r="A2" s="4" t="s">
        <v>206</v>
      </c>
      <c r="B2" s="72" t="s">
        <v>207</v>
      </c>
      <c r="C2" s="72"/>
      <c r="D2" s="72"/>
      <c r="F2" s="72" t="s">
        <v>459</v>
      </c>
      <c r="G2" s="72"/>
      <c r="H2" s="72"/>
      <c r="J2" s="54" t="s">
        <v>208</v>
      </c>
      <c r="N2" t="s">
        <v>209</v>
      </c>
      <c r="O2" t="s">
        <v>210</v>
      </c>
      <c r="Q2" t="s">
        <v>211</v>
      </c>
      <c r="S2" t="s">
        <v>212</v>
      </c>
    </row>
    <row r="3" spans="1:19">
      <c r="B3" t="s">
        <v>213</v>
      </c>
      <c r="C3" t="s">
        <v>214</v>
      </c>
      <c r="D3" t="s">
        <v>215</v>
      </c>
      <c r="F3" t="s">
        <v>216</v>
      </c>
      <c r="G3" t="s">
        <v>214</v>
      </c>
      <c r="H3" t="s">
        <v>215</v>
      </c>
    </row>
    <row r="4" spans="1:19">
      <c r="A4" s="51" t="s">
        <v>217</v>
      </c>
    </row>
    <row r="5" spans="1:19">
      <c r="A5" t="s">
        <v>5</v>
      </c>
      <c r="B5">
        <v>27.952999999999999</v>
      </c>
      <c r="C5">
        <v>27.114000000000001</v>
      </c>
      <c r="D5">
        <v>27.509</v>
      </c>
      <c r="F5">
        <v>18.475000000000001</v>
      </c>
      <c r="G5">
        <v>18.829999999999998</v>
      </c>
      <c r="H5">
        <v>18.477499999999999</v>
      </c>
      <c r="J5">
        <f>B5-F5</f>
        <v>9.477999999999998</v>
      </c>
      <c r="K5">
        <f>C5-G5</f>
        <v>8.2840000000000025</v>
      </c>
      <c r="L5">
        <f>D5-H5</f>
        <v>9.0315000000000012</v>
      </c>
      <c r="N5">
        <f>AVERAGE(L5,J5)</f>
        <v>9.2547499999999996</v>
      </c>
      <c r="O5">
        <f>STDEV(J5,L5)</f>
        <v>0.3157231777997912</v>
      </c>
      <c r="Q5">
        <f>N5-N5</f>
        <v>0</v>
      </c>
      <c r="S5">
        <f>POWER(2,-Q5)</f>
        <v>1</v>
      </c>
    </row>
    <row r="6" spans="1:19">
      <c r="A6" t="s">
        <v>6</v>
      </c>
      <c r="B6">
        <v>28.824999999999999</v>
      </c>
      <c r="C6">
        <v>28.117999999999999</v>
      </c>
      <c r="D6">
        <v>28.738</v>
      </c>
      <c r="F6">
        <v>18.751999999999999</v>
      </c>
      <c r="G6">
        <v>18.114999999999998</v>
      </c>
      <c r="H6">
        <v>18.734999999999999</v>
      </c>
      <c r="J6">
        <f t="shared" ref="J6:L8" si="0">B6-F6</f>
        <v>10.073</v>
      </c>
      <c r="K6">
        <f t="shared" si="0"/>
        <v>10.003</v>
      </c>
      <c r="L6">
        <f t="shared" si="0"/>
        <v>10.003</v>
      </c>
      <c r="N6">
        <f t="shared" ref="N6" si="1">AVERAGE(J6:L6)</f>
        <v>10.026333333333334</v>
      </c>
      <c r="O6">
        <f t="shared" ref="O6" si="2">STDEV(J6:L6)</f>
        <v>4.0414518843273968E-2</v>
      </c>
      <c r="Q6">
        <f>N6-N5</f>
        <v>0.77158333333333395</v>
      </c>
      <c r="S6">
        <f t="shared" ref="S6" si="3">POWER(2,-Q6)</f>
        <v>0.58577424441727888</v>
      </c>
    </row>
    <row r="7" spans="1:19">
      <c r="A7" t="s">
        <v>218</v>
      </c>
      <c r="B7">
        <v>28.228000000000002</v>
      </c>
      <c r="C7">
        <v>28.846</v>
      </c>
      <c r="D7">
        <v>28.152999999999999</v>
      </c>
      <c r="F7">
        <v>18.527999999999999</v>
      </c>
      <c r="G7">
        <v>18.239999999999998</v>
      </c>
      <c r="H7">
        <v>18.484999999999999</v>
      </c>
      <c r="J7">
        <f t="shared" si="0"/>
        <v>9.7000000000000028</v>
      </c>
      <c r="K7">
        <f t="shared" si="0"/>
        <v>10.606000000000002</v>
      </c>
      <c r="L7">
        <f t="shared" si="0"/>
        <v>9.6679999999999993</v>
      </c>
      <c r="N7">
        <f>AVERAGE(L7,J7)</f>
        <v>9.6840000000000011</v>
      </c>
      <c r="O7">
        <f>STDEV(J7,L7)</f>
        <v>2.2627416997972053E-2</v>
      </c>
      <c r="Q7">
        <f>N7-N5</f>
        <v>0.42925000000000146</v>
      </c>
      <c r="S7">
        <f>POWER(2,-Q7)</f>
        <v>0.74264775812961548</v>
      </c>
    </row>
    <row r="8" spans="1:19">
      <c r="A8" t="s">
        <v>52</v>
      </c>
      <c r="B8">
        <v>29.844999999999999</v>
      </c>
      <c r="C8">
        <v>29.183</v>
      </c>
      <c r="D8">
        <v>29.552</v>
      </c>
      <c r="F8">
        <v>18.738399999999999</v>
      </c>
      <c r="G8">
        <v>18.117999999999999</v>
      </c>
      <c r="H8">
        <v>18.734000000000002</v>
      </c>
      <c r="J8">
        <f t="shared" si="0"/>
        <v>11.1066</v>
      </c>
      <c r="K8">
        <f t="shared" si="0"/>
        <v>11.065000000000001</v>
      </c>
      <c r="L8">
        <f t="shared" si="0"/>
        <v>10.817999999999998</v>
      </c>
      <c r="N8">
        <f>AVERAGE(L8,J8)</f>
        <v>10.962299999999999</v>
      </c>
      <c r="O8">
        <f>STDEV(J8,L8)</f>
        <v>0.20407101705043934</v>
      </c>
      <c r="Q8">
        <f>N8-N5</f>
        <v>1.7075499999999995</v>
      </c>
      <c r="S8">
        <f>POWER(2,-Q8)</f>
        <v>0.30617958558965153</v>
      </c>
    </row>
    <row r="10" spans="1:19">
      <c r="A10" s="51" t="s">
        <v>219</v>
      </c>
    </row>
    <row r="11" spans="1:19">
      <c r="A11" t="s">
        <v>5</v>
      </c>
      <c r="B11">
        <v>25.228999999999999</v>
      </c>
      <c r="C11">
        <v>25.395</v>
      </c>
      <c r="D11">
        <v>25.193999999999999</v>
      </c>
      <c r="F11">
        <v>17.683</v>
      </c>
      <c r="G11">
        <v>17.238</v>
      </c>
      <c r="H11">
        <v>17.834</v>
      </c>
      <c r="J11">
        <f>B11-F11</f>
        <v>7.5459999999999994</v>
      </c>
      <c r="K11">
        <f>C11-G11</f>
        <v>8.157</v>
      </c>
      <c r="L11">
        <f>D11-H11</f>
        <v>7.3599999999999994</v>
      </c>
      <c r="N11">
        <f>AVERAGE(L11,J11)</f>
        <v>7.4529999999999994</v>
      </c>
      <c r="O11">
        <f>STDEV(J11,L11)</f>
        <v>0.13152186130069779</v>
      </c>
      <c r="Q11">
        <f>N11-N11</f>
        <v>0</v>
      </c>
      <c r="S11">
        <f>POWER(2,-Q11)</f>
        <v>1</v>
      </c>
    </row>
    <row r="12" spans="1:19">
      <c r="A12" t="s">
        <v>6</v>
      </c>
      <c r="B12">
        <v>26.995000000000001</v>
      </c>
      <c r="C12">
        <v>26.798400000000001</v>
      </c>
      <c r="D12">
        <v>26.285</v>
      </c>
      <c r="F12">
        <v>18.73</v>
      </c>
      <c r="G12">
        <v>18.734999999999999</v>
      </c>
      <c r="H12">
        <v>18.422000000000001</v>
      </c>
      <c r="J12">
        <f t="shared" ref="J12:L14" si="4">B12-F12</f>
        <v>8.2650000000000006</v>
      </c>
      <c r="K12">
        <f t="shared" si="4"/>
        <v>8.0634000000000015</v>
      </c>
      <c r="L12">
        <f t="shared" si="4"/>
        <v>7.8629999999999995</v>
      </c>
      <c r="N12">
        <f t="shared" ref="N12" si="5">AVERAGE(J12:L12)</f>
        <v>8.0638000000000005</v>
      </c>
      <c r="O12">
        <f t="shared" ref="O12" si="6">STDEV(J12:L12)</f>
        <v>0.20100029850724155</v>
      </c>
      <c r="Q12">
        <f>N12-N11</f>
        <v>0.61080000000000112</v>
      </c>
      <c r="S12">
        <f t="shared" ref="S12" si="7">POWER(2,-Q12)</f>
        <v>0.65483348444643441</v>
      </c>
    </row>
    <row r="13" spans="1:19">
      <c r="A13" t="s">
        <v>218</v>
      </c>
      <c r="B13">
        <v>27.576000000000001</v>
      </c>
      <c r="C13">
        <v>27.119</v>
      </c>
      <c r="D13">
        <v>27.629000000000001</v>
      </c>
      <c r="F13">
        <v>18.523</v>
      </c>
      <c r="G13">
        <v>18.440999999999999</v>
      </c>
      <c r="H13">
        <v>18.388999999999999</v>
      </c>
      <c r="J13">
        <f t="shared" si="4"/>
        <v>9.0530000000000008</v>
      </c>
      <c r="K13">
        <f>C13-G13</f>
        <v>8.6780000000000008</v>
      </c>
      <c r="L13">
        <f>D13-H13</f>
        <v>9.240000000000002</v>
      </c>
      <c r="N13">
        <f>AVERAGE(L13,J13)</f>
        <v>9.1465000000000014</v>
      </c>
      <c r="O13">
        <f>STDEV(J13,L13)</f>
        <v>0.13222896808188522</v>
      </c>
      <c r="Q13">
        <f>N13-N11</f>
        <v>1.693500000000002</v>
      </c>
      <c r="S13">
        <f>POWER(2,-Q13)</f>
        <v>0.30917594888295036</v>
      </c>
    </row>
    <row r="14" spans="1:19">
      <c r="A14" t="s">
        <v>52</v>
      </c>
      <c r="B14">
        <v>29.331</v>
      </c>
      <c r="C14">
        <v>29.847999999999999</v>
      </c>
      <c r="D14">
        <v>29.184000000000001</v>
      </c>
      <c r="F14">
        <v>19.283999999999999</v>
      </c>
      <c r="G14">
        <v>19.283999999999999</v>
      </c>
      <c r="H14">
        <v>19.184000000000001</v>
      </c>
      <c r="J14">
        <f t="shared" si="4"/>
        <v>10.047000000000001</v>
      </c>
      <c r="K14">
        <f>C14-G14</f>
        <v>10.564</v>
      </c>
      <c r="L14">
        <f>D14-H14</f>
        <v>10</v>
      </c>
      <c r="N14">
        <f>AVERAGE(L14,J14)</f>
        <v>10.0235</v>
      </c>
      <c r="O14">
        <f>STDEV(J14,L14)</f>
        <v>3.3234018715768157E-2</v>
      </c>
      <c r="Q14">
        <f>N14-N11</f>
        <v>2.5705000000000009</v>
      </c>
      <c r="S14">
        <f>POWER(2,-Q14)</f>
        <v>0.16834584277362091</v>
      </c>
    </row>
    <row r="16" spans="1:19">
      <c r="A16" s="51" t="s">
        <v>220</v>
      </c>
    </row>
    <row r="17" spans="1:19">
      <c r="A17" t="s">
        <v>5</v>
      </c>
      <c r="B17">
        <v>25.128399999999999</v>
      </c>
      <c r="C17">
        <v>25.934999999999999</v>
      </c>
      <c r="D17">
        <v>25.672999999999998</v>
      </c>
      <c r="F17">
        <v>19.835000000000001</v>
      </c>
      <c r="G17">
        <v>19.114000000000001</v>
      </c>
      <c r="H17">
        <v>19.742999999999999</v>
      </c>
      <c r="J17">
        <f>B17-F17</f>
        <v>5.2933999999999983</v>
      </c>
      <c r="K17">
        <f>C17-G17</f>
        <v>6.820999999999998</v>
      </c>
      <c r="L17">
        <f>D17-H17</f>
        <v>5.93</v>
      </c>
      <c r="N17">
        <f>AVERAGE(L17,J17)</f>
        <v>5.611699999999999</v>
      </c>
      <c r="O17">
        <f>STDEV(J17,L17)</f>
        <v>0.45014417690335712</v>
      </c>
      <c r="Q17">
        <f>N17-N17</f>
        <v>0</v>
      </c>
      <c r="S17">
        <f>POWER(2,-Q17)</f>
        <v>1</v>
      </c>
    </row>
    <row r="18" spans="1:19">
      <c r="A18" t="s">
        <v>6</v>
      </c>
      <c r="B18">
        <v>26.771999999999998</v>
      </c>
      <c r="C18">
        <v>26.193999999999999</v>
      </c>
      <c r="D18">
        <v>26.849</v>
      </c>
      <c r="F18">
        <v>17.373999999999999</v>
      </c>
      <c r="G18">
        <v>17.292999999999999</v>
      </c>
      <c r="H18">
        <v>17.385000000000002</v>
      </c>
      <c r="J18">
        <f t="shared" ref="J18:L20" si="8">B18-F18</f>
        <v>9.3979999999999997</v>
      </c>
      <c r="K18">
        <f t="shared" si="8"/>
        <v>8.9009999999999998</v>
      </c>
      <c r="L18">
        <f t="shared" si="8"/>
        <v>9.4639999999999986</v>
      </c>
      <c r="N18">
        <f t="shared" ref="N18" si="9">AVERAGE(J18:L18)</f>
        <v>9.2543333333333333</v>
      </c>
      <c r="O18">
        <f t="shared" ref="O18" si="10">STDEV(J18:L18)</f>
        <v>0.30776993572039013</v>
      </c>
      <c r="Q18">
        <f>N18-N17</f>
        <v>3.6426333333333343</v>
      </c>
      <c r="S18">
        <f t="shared" ref="S18" si="11">POWER(2,-Q18)</f>
        <v>8.0067838306040098E-2</v>
      </c>
    </row>
    <row r="19" spans="1:19">
      <c r="A19" t="s">
        <v>218</v>
      </c>
      <c r="B19">
        <v>27.228000000000002</v>
      </c>
      <c r="C19">
        <v>27.523</v>
      </c>
      <c r="D19">
        <v>27.492999999999999</v>
      </c>
      <c r="F19">
        <v>18.338000000000001</v>
      </c>
      <c r="G19">
        <v>18.384</v>
      </c>
      <c r="H19">
        <v>18.283999999999999</v>
      </c>
      <c r="J19">
        <f t="shared" si="8"/>
        <v>8.89</v>
      </c>
      <c r="K19">
        <f>C19-G19</f>
        <v>9.1389999999999993</v>
      </c>
      <c r="L19">
        <f>D19-H19</f>
        <v>9.2089999999999996</v>
      </c>
      <c r="N19">
        <f>AVERAGE(L19,J19)</f>
        <v>9.0495000000000001</v>
      </c>
      <c r="O19">
        <f>STDEV(J19,L19)</f>
        <v>0.225567063198508</v>
      </c>
      <c r="Q19">
        <f>N19-N17</f>
        <v>3.4378000000000011</v>
      </c>
      <c r="S19">
        <f>POWER(2,-Q19)</f>
        <v>9.2282442531441619E-2</v>
      </c>
    </row>
    <row r="20" spans="1:19">
      <c r="A20" t="s">
        <v>52</v>
      </c>
      <c r="B20">
        <v>28.385000000000002</v>
      </c>
      <c r="C20">
        <v>28.173999999999999</v>
      </c>
      <c r="D20">
        <v>28.663</v>
      </c>
      <c r="F20">
        <v>18.382000000000001</v>
      </c>
      <c r="G20">
        <v>18.731999999999999</v>
      </c>
      <c r="H20">
        <v>18.373999999999999</v>
      </c>
      <c r="J20">
        <f t="shared" si="8"/>
        <v>10.003</v>
      </c>
      <c r="K20">
        <f>C20-G20</f>
        <v>9.4420000000000002</v>
      </c>
      <c r="L20">
        <f>D20-H20</f>
        <v>10.289000000000001</v>
      </c>
      <c r="N20">
        <f>AVERAGE(L20,J20)</f>
        <v>10.146000000000001</v>
      </c>
      <c r="O20">
        <f>STDEV(J20,L20)</f>
        <v>0.20223253941935357</v>
      </c>
      <c r="Q20">
        <f>N20-N17</f>
        <v>4.5343000000000018</v>
      </c>
      <c r="S20">
        <f>POWER(2,-Q20)</f>
        <v>4.3155851564333693E-2</v>
      </c>
    </row>
    <row r="22" spans="1:19">
      <c r="A22" s="51" t="s">
        <v>221</v>
      </c>
    </row>
    <row r="23" spans="1:19">
      <c r="A23" t="s">
        <v>5</v>
      </c>
      <c r="B23">
        <v>26.722000000000001</v>
      </c>
      <c r="C23">
        <v>26.173999999999999</v>
      </c>
      <c r="D23">
        <v>26.283999999999999</v>
      </c>
      <c r="F23">
        <v>18.641999999999999</v>
      </c>
      <c r="G23">
        <v>18.274000000000001</v>
      </c>
      <c r="H23">
        <v>18.337</v>
      </c>
      <c r="J23">
        <f>B23-F23</f>
        <v>8.0800000000000018</v>
      </c>
      <c r="K23">
        <f>C23-G23</f>
        <v>7.8999999999999986</v>
      </c>
      <c r="L23">
        <f>D23-H23</f>
        <v>7.9469999999999992</v>
      </c>
      <c r="N23">
        <f>AVERAGE(L23,J23)</f>
        <v>8.0135000000000005</v>
      </c>
      <c r="O23">
        <f>STDEV(J23,L23)</f>
        <v>9.4045201897812708E-2</v>
      </c>
      <c r="Q23">
        <f>N23-N23</f>
        <v>0</v>
      </c>
      <c r="S23">
        <f>POWER(2,-Q23)</f>
        <v>1</v>
      </c>
    </row>
    <row r="24" spans="1:19">
      <c r="A24" t="s">
        <v>6</v>
      </c>
      <c r="B24">
        <v>27.343</v>
      </c>
      <c r="C24">
        <v>27.172999999999998</v>
      </c>
      <c r="D24">
        <v>27.95</v>
      </c>
      <c r="F24">
        <v>17.375</v>
      </c>
      <c r="G24">
        <v>17.294</v>
      </c>
      <c r="H24">
        <v>17.228000000000002</v>
      </c>
      <c r="J24">
        <f t="shared" ref="J24:L26" si="12">B24-F24</f>
        <v>9.968</v>
      </c>
      <c r="K24">
        <f t="shared" si="12"/>
        <v>9.8789999999999978</v>
      </c>
      <c r="L24">
        <f t="shared" si="12"/>
        <v>10.721999999999998</v>
      </c>
      <c r="N24">
        <f t="shared" ref="N24" si="13">AVERAGE(J24:L24)</f>
        <v>10.189666666666666</v>
      </c>
      <c r="O24">
        <f t="shared" ref="O24" si="14">STDEV(J24:L24)</f>
        <v>0.46315692085224508</v>
      </c>
      <c r="Q24">
        <f>N24-N23</f>
        <v>2.1761666666666653</v>
      </c>
      <c r="S24">
        <f t="shared" ref="S24" si="15">POWER(2,-Q24)</f>
        <v>0.22126287837829989</v>
      </c>
    </row>
    <row r="25" spans="1:19">
      <c r="A25" t="s">
        <v>218</v>
      </c>
      <c r="B25">
        <v>28.370999999999999</v>
      </c>
      <c r="C25">
        <v>28.183</v>
      </c>
      <c r="D25">
        <v>28.573</v>
      </c>
      <c r="F25">
        <v>18.734000000000002</v>
      </c>
      <c r="G25">
        <v>18.242999999999999</v>
      </c>
      <c r="H25">
        <v>18.373999999999999</v>
      </c>
      <c r="J25">
        <f t="shared" si="12"/>
        <v>9.6369999999999969</v>
      </c>
      <c r="K25">
        <f>C25-G25</f>
        <v>9.9400000000000013</v>
      </c>
      <c r="L25">
        <f>D25-H25</f>
        <v>10.199000000000002</v>
      </c>
      <c r="N25">
        <f>AVERAGE(L25,J25)</f>
        <v>9.9179999999999993</v>
      </c>
      <c r="O25">
        <f>STDEV(J25,L25)</f>
        <v>0.39739401102684302</v>
      </c>
      <c r="Q25">
        <f>N25-N23</f>
        <v>1.9044999999999987</v>
      </c>
      <c r="S25">
        <f>POWER(2,-Q25)</f>
        <v>0.26710890886569749</v>
      </c>
    </row>
    <row r="26" spans="1:19">
      <c r="A26" t="s">
        <v>52</v>
      </c>
      <c r="B26">
        <v>28.948</v>
      </c>
      <c r="C26">
        <v>28.771000000000001</v>
      </c>
      <c r="D26">
        <v>28.375</v>
      </c>
      <c r="F26">
        <v>17.663</v>
      </c>
      <c r="G26">
        <v>17.283999999999999</v>
      </c>
      <c r="H26">
        <v>17.239999999999998</v>
      </c>
      <c r="J26">
        <f t="shared" si="12"/>
        <v>11.285</v>
      </c>
      <c r="K26">
        <f>C26-G26</f>
        <v>11.487000000000002</v>
      </c>
      <c r="L26">
        <f>D26-H26</f>
        <v>11.135000000000002</v>
      </c>
      <c r="N26">
        <f>AVERAGE(L26,J26)</f>
        <v>11.21</v>
      </c>
      <c r="O26">
        <f>STDEV(J26,L26)</f>
        <v>0.10606601717798111</v>
      </c>
      <c r="Q26">
        <f>N26-N23</f>
        <v>3.1965000000000003</v>
      </c>
      <c r="S26">
        <f>POWER(2,-Q26)</f>
        <v>0.10908313700536727</v>
      </c>
    </row>
    <row r="28" spans="1:19">
      <c r="A28" s="51" t="s">
        <v>222</v>
      </c>
    </row>
    <row r="29" spans="1:19">
      <c r="A29" t="s">
        <v>5</v>
      </c>
      <c r="B29">
        <v>24.956</v>
      </c>
      <c r="C29">
        <v>24.18</v>
      </c>
      <c r="D29">
        <v>24.734000000000002</v>
      </c>
      <c r="F29">
        <v>17.283999999999999</v>
      </c>
      <c r="G29">
        <v>17.628</v>
      </c>
      <c r="H29">
        <v>17.294</v>
      </c>
      <c r="J29">
        <f>B29-F29</f>
        <v>7.6720000000000006</v>
      </c>
      <c r="K29">
        <f>C29-G29</f>
        <v>6.5519999999999996</v>
      </c>
      <c r="L29">
        <f>D29-H29</f>
        <v>7.4400000000000013</v>
      </c>
      <c r="N29">
        <f>AVERAGE(L29,J29)</f>
        <v>7.5560000000000009</v>
      </c>
      <c r="O29">
        <f>STDEV(J29,L29)</f>
        <v>0.16404877323527856</v>
      </c>
      <c r="Q29">
        <f>N29-N29</f>
        <v>0</v>
      </c>
      <c r="S29">
        <f>POWER(2,-Q29)</f>
        <v>1</v>
      </c>
    </row>
    <row r="30" spans="1:19">
      <c r="A30" t="s">
        <v>6</v>
      </c>
      <c r="B30">
        <v>27.385000000000002</v>
      </c>
      <c r="C30">
        <v>27.558</v>
      </c>
      <c r="D30">
        <v>27.629000000000001</v>
      </c>
      <c r="F30">
        <v>18.542000000000002</v>
      </c>
      <c r="G30">
        <v>18.227</v>
      </c>
      <c r="H30">
        <v>18.934000000000001</v>
      </c>
      <c r="J30">
        <f t="shared" ref="J30:L32" si="16">B30-F30</f>
        <v>8.843</v>
      </c>
      <c r="K30">
        <f t="shared" si="16"/>
        <v>9.3309999999999995</v>
      </c>
      <c r="L30">
        <f t="shared" si="16"/>
        <v>8.6950000000000003</v>
      </c>
      <c r="N30">
        <f t="shared" ref="N30" si="17">AVERAGE(J30:L30)</f>
        <v>8.9563333333333333</v>
      </c>
      <c r="O30">
        <f t="shared" ref="O30" si="18">STDEV(J30:L30)</f>
        <v>0.33280224358218063</v>
      </c>
      <c r="Q30">
        <f>N30-N29</f>
        <v>1.4003333333333323</v>
      </c>
      <c r="S30">
        <f t="shared" ref="S30" si="19">POWER(2,-Q30)</f>
        <v>0.37884160051908428</v>
      </c>
    </row>
    <row r="31" spans="1:19">
      <c r="A31" t="s">
        <v>218</v>
      </c>
      <c r="B31">
        <v>27.637</v>
      </c>
      <c r="C31">
        <v>27.837</v>
      </c>
      <c r="D31">
        <v>27.193000000000001</v>
      </c>
      <c r="F31">
        <v>17.722999999999999</v>
      </c>
      <c r="G31">
        <v>17.983000000000001</v>
      </c>
      <c r="H31">
        <v>17.382000000000001</v>
      </c>
      <c r="J31">
        <f t="shared" si="16"/>
        <v>9.9140000000000015</v>
      </c>
      <c r="K31">
        <f>C31-G31</f>
        <v>9.8539999999999992</v>
      </c>
      <c r="L31">
        <f>D31-H31</f>
        <v>9.8109999999999999</v>
      </c>
      <c r="N31">
        <f>AVERAGE(L31,J31)</f>
        <v>9.8625000000000007</v>
      </c>
      <c r="O31">
        <f>STDEV(J31,L31)</f>
        <v>7.2831998462215483E-2</v>
      </c>
      <c r="Q31">
        <f>N31-N29</f>
        <v>2.3064999999999998</v>
      </c>
      <c r="S31">
        <f>POWER(2,-Q31)</f>
        <v>0.20215026500545014</v>
      </c>
    </row>
    <row r="32" spans="1:19">
      <c r="A32" t="s">
        <v>52</v>
      </c>
      <c r="B32">
        <v>29.734999999999999</v>
      </c>
      <c r="C32">
        <v>29.187000000000001</v>
      </c>
      <c r="D32">
        <v>29.884</v>
      </c>
      <c r="F32">
        <v>18.622</v>
      </c>
      <c r="G32">
        <v>18.722000000000001</v>
      </c>
      <c r="H32">
        <v>18.922999999999998</v>
      </c>
      <c r="J32">
        <f t="shared" si="16"/>
        <v>11.113</v>
      </c>
      <c r="K32">
        <f>C32-G32</f>
        <v>10.465</v>
      </c>
      <c r="L32">
        <f>D32-H32</f>
        <v>10.961000000000002</v>
      </c>
      <c r="N32">
        <f>AVERAGE(L32,J32)</f>
        <v>11.037000000000001</v>
      </c>
      <c r="O32">
        <f>STDEV(J32,L32)</f>
        <v>0.10748023074035343</v>
      </c>
      <c r="Q32">
        <f>N32-N29</f>
        <v>3.4809999999999999</v>
      </c>
      <c r="S32">
        <f>POWER(2,-Q32)</f>
        <v>8.9560103148318776E-2</v>
      </c>
    </row>
  </sheetData>
  <mergeCells count="2">
    <mergeCell ref="B2:D2"/>
    <mergeCell ref="F2:H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workbookViewId="0">
      <selection activeCell="H4" sqref="H4"/>
    </sheetView>
  </sheetViews>
  <sheetFormatPr defaultRowHeight="15"/>
  <sheetData>
    <row r="1" spans="1:19">
      <c r="A1" t="s">
        <v>404</v>
      </c>
    </row>
    <row r="2" spans="1:19">
      <c r="B2" t="s">
        <v>223</v>
      </c>
      <c r="F2" s="72" t="s">
        <v>459</v>
      </c>
      <c r="G2" s="72"/>
      <c r="H2" s="72"/>
      <c r="J2" t="s">
        <v>224</v>
      </c>
      <c r="N2" t="s">
        <v>44</v>
      </c>
      <c r="O2" t="s">
        <v>45</v>
      </c>
      <c r="Q2" t="s">
        <v>225</v>
      </c>
      <c r="S2" t="s">
        <v>226</v>
      </c>
    </row>
    <row r="3" spans="1:19">
      <c r="A3" t="s">
        <v>227</v>
      </c>
      <c r="B3" t="s">
        <v>228</v>
      </c>
      <c r="C3" t="s">
        <v>229</v>
      </c>
      <c r="D3" t="s">
        <v>230</v>
      </c>
      <c r="F3" t="s">
        <v>231</v>
      </c>
      <c r="G3" t="s">
        <v>229</v>
      </c>
      <c r="H3" t="s">
        <v>230</v>
      </c>
    </row>
    <row r="4" spans="1:19">
      <c r="A4" t="s">
        <v>232</v>
      </c>
    </row>
    <row r="5" spans="1:19">
      <c r="A5" t="s">
        <v>5</v>
      </c>
      <c r="B5">
        <v>26.385000000000002</v>
      </c>
      <c r="C5">
        <v>26.338000000000001</v>
      </c>
      <c r="D5">
        <v>26.843</v>
      </c>
      <c r="F5">
        <v>17.283999999999999</v>
      </c>
      <c r="G5">
        <v>17.113</v>
      </c>
      <c r="H5">
        <v>17.683</v>
      </c>
      <c r="J5">
        <v>9.1010000000000026</v>
      </c>
      <c r="K5">
        <v>9.2250000000000014</v>
      </c>
      <c r="L5">
        <v>9.16</v>
      </c>
      <c r="N5">
        <v>9.1305000000000014</v>
      </c>
      <c r="O5">
        <v>4.1719300090004532E-2</v>
      </c>
      <c r="Q5">
        <v>0</v>
      </c>
      <c r="S5">
        <v>1</v>
      </c>
    </row>
    <row r="6" spans="1:19">
      <c r="A6" t="s">
        <v>6</v>
      </c>
      <c r="B6">
        <v>26.294</v>
      </c>
      <c r="C6">
        <v>26.788</v>
      </c>
      <c r="D6">
        <v>26.596</v>
      </c>
      <c r="F6">
        <v>17.146999999999998</v>
      </c>
      <c r="G6">
        <v>17.423999999999999</v>
      </c>
      <c r="H6">
        <v>17.283999999999999</v>
      </c>
      <c r="J6">
        <v>9.147000000000002</v>
      </c>
      <c r="K6">
        <v>9.3640000000000008</v>
      </c>
      <c r="L6">
        <v>9.3120000000000012</v>
      </c>
      <c r="N6">
        <v>9.2743333333333347</v>
      </c>
      <c r="O6">
        <v>0.11329754336848256</v>
      </c>
      <c r="Q6">
        <v>0.14383333333333326</v>
      </c>
      <c r="S6">
        <v>0.90511101936856464</v>
      </c>
    </row>
    <row r="7" spans="1:19">
      <c r="A7" t="s">
        <v>218</v>
      </c>
      <c r="B7">
        <v>27.274000000000001</v>
      </c>
      <c r="C7">
        <v>27.387</v>
      </c>
      <c r="D7">
        <v>27.544</v>
      </c>
      <c r="F7">
        <v>17.734000000000002</v>
      </c>
      <c r="G7">
        <v>17.484000000000002</v>
      </c>
      <c r="H7">
        <v>17.373999999999999</v>
      </c>
      <c r="J7">
        <v>9.5399999999999991</v>
      </c>
      <c r="K7">
        <v>9.9029999999999987</v>
      </c>
      <c r="L7">
        <v>10.170000000000002</v>
      </c>
      <c r="N7">
        <v>9.8550000000000004</v>
      </c>
      <c r="O7">
        <v>0.44547727214752675</v>
      </c>
      <c r="Q7">
        <v>0.72449999999999903</v>
      </c>
      <c r="S7">
        <v>0.60520675694578541</v>
      </c>
    </row>
    <row r="8" spans="1:19">
      <c r="A8" t="s">
        <v>52</v>
      </c>
      <c r="B8">
        <v>28.274000000000001</v>
      </c>
      <c r="C8">
        <v>28.123999999999999</v>
      </c>
      <c r="D8">
        <v>28.254999999999999</v>
      </c>
      <c r="F8">
        <v>17.373999999999999</v>
      </c>
      <c r="G8">
        <v>17.834</v>
      </c>
      <c r="H8">
        <v>17.384</v>
      </c>
      <c r="J8">
        <v>10.900000000000002</v>
      </c>
      <c r="K8">
        <v>10.29</v>
      </c>
      <c r="L8">
        <v>10.870999999999999</v>
      </c>
      <c r="N8">
        <v>10.8855</v>
      </c>
      <c r="O8">
        <v>2.0506096654412328E-2</v>
      </c>
      <c r="Q8">
        <v>1.754999999999999</v>
      </c>
      <c r="S8">
        <v>0.29627319273539576</v>
      </c>
    </row>
    <row r="10" spans="1:19">
      <c r="A10" t="s">
        <v>233</v>
      </c>
    </row>
    <row r="11" spans="1:19">
      <c r="A11" t="s">
        <v>5</v>
      </c>
      <c r="B11">
        <v>26.774999999999999</v>
      </c>
      <c r="C11">
        <v>26.294</v>
      </c>
      <c r="D11">
        <v>26.934999999999999</v>
      </c>
      <c r="F11">
        <v>18.834</v>
      </c>
      <c r="G11">
        <v>18.283999999999999</v>
      </c>
      <c r="H11">
        <v>18.734000000000002</v>
      </c>
      <c r="J11">
        <v>7.9409999999999989</v>
      </c>
      <c r="K11">
        <v>8.0100000000000016</v>
      </c>
      <c r="L11">
        <v>8.200999999999997</v>
      </c>
      <c r="N11">
        <v>8.070999999999998</v>
      </c>
      <c r="O11">
        <v>0.18384776310850096</v>
      </c>
      <c r="Q11">
        <v>0</v>
      </c>
      <c r="S11">
        <v>1</v>
      </c>
    </row>
    <row r="12" spans="1:19">
      <c r="A12" t="s">
        <v>6</v>
      </c>
      <c r="B12">
        <v>27.375</v>
      </c>
      <c r="C12">
        <v>27.395</v>
      </c>
      <c r="D12">
        <v>27.448</v>
      </c>
      <c r="F12">
        <v>17.373999999999999</v>
      </c>
      <c r="G12">
        <v>17.393999999999998</v>
      </c>
      <c r="H12">
        <v>17.384</v>
      </c>
      <c r="J12">
        <v>10.001000000000001</v>
      </c>
      <c r="K12">
        <v>10.001000000000001</v>
      </c>
      <c r="L12">
        <v>10.064</v>
      </c>
      <c r="N12">
        <v>10.022</v>
      </c>
      <c r="O12">
        <v>3.6373066958945752E-2</v>
      </c>
      <c r="Q12">
        <v>1.9510000000000023</v>
      </c>
      <c r="S12">
        <v>0.25863689537972689</v>
      </c>
    </row>
    <row r="13" spans="1:19">
      <c r="A13" t="s">
        <v>218</v>
      </c>
      <c r="B13">
        <v>28.745000000000001</v>
      </c>
      <c r="C13">
        <v>28.542999999999999</v>
      </c>
      <c r="D13">
        <v>28.184000000000001</v>
      </c>
      <c r="F13">
        <v>16.474</v>
      </c>
      <c r="G13">
        <v>16.228000000000002</v>
      </c>
      <c r="H13">
        <v>16.844000000000001</v>
      </c>
      <c r="J13">
        <v>12.271000000000001</v>
      </c>
      <c r="K13">
        <v>12.314999999999998</v>
      </c>
      <c r="L13">
        <v>11.34</v>
      </c>
      <c r="N13">
        <v>11.8055</v>
      </c>
      <c r="O13">
        <v>0.65831641328467638</v>
      </c>
      <c r="Q13">
        <v>3.7345000000000024</v>
      </c>
      <c r="S13">
        <v>7.5128286063830541E-2</v>
      </c>
    </row>
    <row r="14" spans="1:19">
      <c r="A14" t="s">
        <v>52</v>
      </c>
      <c r="B14">
        <v>29.475000000000001</v>
      </c>
      <c r="C14">
        <v>29.183</v>
      </c>
      <c r="D14">
        <v>29.334</v>
      </c>
      <c r="F14">
        <v>17.373999999999999</v>
      </c>
      <c r="G14">
        <v>17.241</v>
      </c>
      <c r="H14">
        <v>17.183</v>
      </c>
      <c r="J14">
        <v>12.101000000000003</v>
      </c>
      <c r="K14">
        <v>11.942</v>
      </c>
      <c r="L14">
        <v>12.151</v>
      </c>
      <c r="N14">
        <v>12.126000000000001</v>
      </c>
      <c r="O14">
        <v>3.5355339059325371E-2</v>
      </c>
      <c r="Q14">
        <v>4.0550000000000033</v>
      </c>
      <c r="S14">
        <v>6.0162152693859328E-2</v>
      </c>
    </row>
    <row r="16" spans="1:19">
      <c r="A16" t="s">
        <v>234</v>
      </c>
    </row>
    <row r="17" spans="1:19">
      <c r="A17" t="s">
        <v>5</v>
      </c>
      <c r="B17">
        <v>26.385000000000002</v>
      </c>
      <c r="C17">
        <v>26.277999999999999</v>
      </c>
      <c r="D17">
        <v>26.992999999999999</v>
      </c>
      <c r="F17">
        <v>17.263999999999999</v>
      </c>
      <c r="G17">
        <v>17.294</v>
      </c>
      <c r="H17">
        <v>17.113</v>
      </c>
      <c r="J17">
        <v>9.1210000000000022</v>
      </c>
      <c r="K17">
        <v>8.9839999999999982</v>
      </c>
      <c r="L17">
        <v>9.879999999999999</v>
      </c>
      <c r="N17">
        <v>9.5005000000000006</v>
      </c>
      <c r="O17">
        <v>0.53669404692058731</v>
      </c>
      <c r="Q17">
        <v>0</v>
      </c>
      <c r="S17">
        <v>1</v>
      </c>
    </row>
    <row r="18" spans="1:19">
      <c r="A18" t="s">
        <v>6</v>
      </c>
      <c r="B18">
        <v>27.198</v>
      </c>
      <c r="C18">
        <v>27.917999999999999</v>
      </c>
      <c r="D18">
        <v>27.483000000000001</v>
      </c>
      <c r="F18">
        <v>16.431000000000001</v>
      </c>
      <c r="G18">
        <v>16.431000000000001</v>
      </c>
      <c r="H18">
        <v>16.183</v>
      </c>
      <c r="J18">
        <v>10.766999999999999</v>
      </c>
      <c r="K18">
        <v>11.486999999999998</v>
      </c>
      <c r="L18">
        <v>11.3</v>
      </c>
      <c r="N18">
        <v>11.184666666666667</v>
      </c>
      <c r="O18">
        <v>0.37359916131240595</v>
      </c>
      <c r="Q18">
        <v>1.6841666666666661</v>
      </c>
      <c r="S18">
        <v>0.31118260754444432</v>
      </c>
    </row>
    <row r="19" spans="1:19">
      <c r="A19" t="s">
        <v>218</v>
      </c>
      <c r="B19">
        <v>28.338000000000001</v>
      </c>
      <c r="C19">
        <v>28.745000000000001</v>
      </c>
      <c r="D19">
        <v>28.183</v>
      </c>
      <c r="F19">
        <v>17.385000000000002</v>
      </c>
      <c r="G19">
        <v>17.234000000000002</v>
      </c>
      <c r="H19">
        <v>17.198</v>
      </c>
      <c r="J19">
        <v>10.952999999999999</v>
      </c>
      <c r="K19">
        <v>11.510999999999999</v>
      </c>
      <c r="L19">
        <v>10.984999999999999</v>
      </c>
      <c r="N19">
        <v>10.968999999999999</v>
      </c>
      <c r="O19">
        <v>2.2627416997969541E-2</v>
      </c>
      <c r="Q19">
        <v>1.4684999999999988</v>
      </c>
      <c r="S19">
        <v>0.3613578148567278</v>
      </c>
    </row>
    <row r="20" spans="1:19">
      <c r="A20" t="s">
        <v>52</v>
      </c>
      <c r="B20">
        <v>28.484999999999999</v>
      </c>
      <c r="C20">
        <v>28.937999999999999</v>
      </c>
      <c r="D20">
        <v>28.122</v>
      </c>
      <c r="F20">
        <v>17.117999999999999</v>
      </c>
      <c r="G20">
        <v>17.431999999999999</v>
      </c>
      <c r="H20">
        <v>17.373000000000001</v>
      </c>
      <c r="J20">
        <v>11.367000000000001</v>
      </c>
      <c r="K20">
        <v>11.506</v>
      </c>
      <c r="L20">
        <v>10.748999999999999</v>
      </c>
      <c r="N20">
        <v>11.058</v>
      </c>
      <c r="O20">
        <v>0.43699199077328787</v>
      </c>
      <c r="Q20">
        <v>1.5574999999999992</v>
      </c>
      <c r="S20">
        <v>0.33973929540336434</v>
      </c>
    </row>
    <row r="22" spans="1:19">
      <c r="A22" t="s">
        <v>235</v>
      </c>
    </row>
    <row r="23" spans="1:19">
      <c r="A23" t="s">
        <v>5</v>
      </c>
      <c r="B23">
        <v>25.628</v>
      </c>
      <c r="C23">
        <v>25.294</v>
      </c>
      <c r="D23">
        <v>25.838999999999999</v>
      </c>
      <c r="F23">
        <v>17.873999999999999</v>
      </c>
      <c r="G23">
        <v>17.283999999999999</v>
      </c>
      <c r="H23">
        <v>17.843</v>
      </c>
      <c r="J23">
        <v>7.7540000000000013</v>
      </c>
      <c r="K23">
        <v>8.0100000000000016</v>
      </c>
      <c r="L23">
        <v>7.9959999999999987</v>
      </c>
      <c r="N23">
        <v>7.875</v>
      </c>
      <c r="O23">
        <v>0.17111984104714262</v>
      </c>
      <c r="Q23">
        <v>0</v>
      </c>
      <c r="S23">
        <v>1</v>
      </c>
    </row>
    <row r="24" spans="1:19">
      <c r="A24" t="s">
        <v>6</v>
      </c>
      <c r="B24">
        <v>26.385000000000002</v>
      </c>
      <c r="C24">
        <v>26.834</v>
      </c>
      <c r="D24">
        <v>26.884</v>
      </c>
      <c r="F24">
        <v>16.733000000000001</v>
      </c>
      <c r="G24">
        <v>16.117999999999999</v>
      </c>
      <c r="H24">
        <v>16.344000000000001</v>
      </c>
      <c r="J24">
        <v>9.652000000000001</v>
      </c>
      <c r="K24">
        <v>10.716000000000001</v>
      </c>
      <c r="L24">
        <v>10.54</v>
      </c>
      <c r="N24">
        <v>10.302666666666667</v>
      </c>
      <c r="O24">
        <v>0.57032388458956629</v>
      </c>
      <c r="Q24">
        <v>2.4276666666666671</v>
      </c>
      <c r="S24">
        <v>0.18586581221439244</v>
      </c>
    </row>
    <row r="25" spans="1:19">
      <c r="A25" t="s">
        <v>218</v>
      </c>
      <c r="B25">
        <v>25.968</v>
      </c>
      <c r="C25">
        <v>25.395</v>
      </c>
      <c r="D25">
        <v>25.885999999999999</v>
      </c>
      <c r="F25">
        <v>17.228000000000002</v>
      </c>
      <c r="G25">
        <v>17.834</v>
      </c>
      <c r="H25">
        <v>17.373999999999999</v>
      </c>
      <c r="J25">
        <v>8.7399999999999984</v>
      </c>
      <c r="K25">
        <v>7.5609999999999999</v>
      </c>
      <c r="L25">
        <v>8.5120000000000005</v>
      </c>
      <c r="N25">
        <v>8.6259999999999994</v>
      </c>
      <c r="O25">
        <v>0.1612203461105314</v>
      </c>
      <c r="Q25">
        <v>0.75099999999999945</v>
      </c>
      <c r="S25">
        <v>0.59419155252846623</v>
      </c>
    </row>
    <row r="26" spans="1:19">
      <c r="A26" t="s">
        <v>52</v>
      </c>
      <c r="B26">
        <v>28.411999999999999</v>
      </c>
      <c r="C26">
        <v>28.183</v>
      </c>
      <c r="D26">
        <v>28.718</v>
      </c>
      <c r="F26">
        <v>16.532</v>
      </c>
      <c r="G26">
        <v>16.283999999999999</v>
      </c>
      <c r="H26">
        <v>16.483000000000001</v>
      </c>
      <c r="J26">
        <v>11.879999999999999</v>
      </c>
      <c r="K26">
        <v>11.899000000000001</v>
      </c>
      <c r="L26">
        <v>12.234999999999999</v>
      </c>
      <c r="N26">
        <v>12.057499999999999</v>
      </c>
      <c r="O26">
        <v>0.25102290732122468</v>
      </c>
      <c r="Q26">
        <v>4.1824999999999992</v>
      </c>
      <c r="S26">
        <v>5.5073419568543371E-2</v>
      </c>
    </row>
    <row r="28" spans="1:19">
      <c r="A28" t="s">
        <v>236</v>
      </c>
    </row>
    <row r="29" spans="1:19">
      <c r="A29" t="s">
        <v>5</v>
      </c>
      <c r="B29">
        <v>26.385000000000002</v>
      </c>
      <c r="C29">
        <v>26.329000000000001</v>
      </c>
      <c r="D29">
        <v>26.125</v>
      </c>
      <c r="F29">
        <v>17.338000000000001</v>
      </c>
      <c r="G29">
        <v>17.983000000000001</v>
      </c>
      <c r="H29">
        <v>17.545000000000002</v>
      </c>
      <c r="J29">
        <v>9.0470000000000006</v>
      </c>
      <c r="K29">
        <v>8.3460000000000001</v>
      </c>
      <c r="L29">
        <v>8.5799999999999983</v>
      </c>
      <c r="N29">
        <v>8.8134999999999994</v>
      </c>
      <c r="O29">
        <v>0.33021886681411933</v>
      </c>
      <c r="Q29">
        <v>0</v>
      </c>
      <c r="S29">
        <v>1</v>
      </c>
    </row>
    <row r="30" spans="1:19">
      <c r="A30" t="s">
        <v>6</v>
      </c>
      <c r="B30">
        <v>27.663</v>
      </c>
      <c r="C30">
        <v>27.193999999999999</v>
      </c>
      <c r="D30">
        <v>27.385000000000002</v>
      </c>
      <c r="F30">
        <v>17.521999999999998</v>
      </c>
      <c r="G30">
        <v>17.433</v>
      </c>
      <c r="H30">
        <v>17.283999999999999</v>
      </c>
      <c r="J30">
        <v>10.141000000000002</v>
      </c>
      <c r="K30">
        <v>9.7609999999999992</v>
      </c>
      <c r="L30">
        <v>10.101000000000003</v>
      </c>
      <c r="N30">
        <v>10.001000000000001</v>
      </c>
      <c r="O30">
        <v>0.20880613017821267</v>
      </c>
      <c r="Q30">
        <v>1.1875000000000018</v>
      </c>
      <c r="S30">
        <v>0.43906304009332431</v>
      </c>
    </row>
    <row r="31" spans="1:19">
      <c r="A31" t="s">
        <v>218</v>
      </c>
      <c r="B31">
        <v>28.553000000000001</v>
      </c>
      <c r="C31">
        <v>28.184000000000001</v>
      </c>
      <c r="D31">
        <v>28.734000000000002</v>
      </c>
      <c r="F31">
        <v>18.710999999999999</v>
      </c>
      <c r="G31">
        <v>18.535</v>
      </c>
      <c r="H31">
        <v>18.114000000000001</v>
      </c>
      <c r="J31">
        <v>9.8420000000000023</v>
      </c>
      <c r="K31">
        <v>9.6490000000000009</v>
      </c>
      <c r="L31">
        <v>10.620000000000001</v>
      </c>
      <c r="N31">
        <v>10.231000000000002</v>
      </c>
      <c r="O31">
        <v>0.55012907576313308</v>
      </c>
      <c r="Q31">
        <v>1.4175000000000022</v>
      </c>
      <c r="S31">
        <v>0.37436046766928155</v>
      </c>
    </row>
    <row r="32" spans="1:19">
      <c r="A32" t="s">
        <v>52</v>
      </c>
      <c r="B32">
        <v>29.827999999999999</v>
      </c>
      <c r="C32">
        <v>29.183</v>
      </c>
      <c r="D32">
        <v>29.184000000000001</v>
      </c>
      <c r="F32">
        <v>17.747399999999999</v>
      </c>
      <c r="G32">
        <v>17.283999999999999</v>
      </c>
      <c r="H32">
        <v>17.274000000000001</v>
      </c>
      <c r="J32">
        <v>12.0806</v>
      </c>
      <c r="K32">
        <v>11.899000000000001</v>
      </c>
      <c r="L32">
        <v>11.91</v>
      </c>
      <c r="N32">
        <v>11.9953</v>
      </c>
      <c r="O32">
        <v>0.12063241687042522</v>
      </c>
      <c r="Q32">
        <v>3.1818000000000008</v>
      </c>
      <c r="S32">
        <v>0.11020029568437395</v>
      </c>
    </row>
  </sheetData>
  <mergeCells count="1">
    <mergeCell ref="F2:H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48"/>
  <sheetViews>
    <sheetView zoomScale="64" zoomScaleNormal="64" workbookViewId="0">
      <selection activeCell="A2" sqref="A2"/>
    </sheetView>
  </sheetViews>
  <sheetFormatPr defaultRowHeight="15"/>
  <cols>
    <col min="1" max="1" width="13.42578125" customWidth="1"/>
    <col min="4" max="4" width="26.5703125" customWidth="1"/>
  </cols>
  <sheetData>
    <row r="2" spans="1:23">
      <c r="A2" s="4" t="s">
        <v>407</v>
      </c>
    </row>
    <row r="4" spans="1:23">
      <c r="A4" s="4" t="s">
        <v>71</v>
      </c>
      <c r="F4" s="18" t="s">
        <v>72</v>
      </c>
      <c r="G4" s="18"/>
      <c r="H4" s="18"/>
      <c r="I4" s="18"/>
      <c r="J4" s="18"/>
      <c r="K4" s="18"/>
      <c r="L4" s="18"/>
      <c r="M4" s="18"/>
      <c r="N4" s="18"/>
      <c r="O4" s="18"/>
    </row>
    <row r="6" spans="1:23">
      <c r="A6" t="s">
        <v>73</v>
      </c>
    </row>
    <row r="8" spans="1:23">
      <c r="A8" s="4" t="s">
        <v>74</v>
      </c>
      <c r="B8" s="4" t="s">
        <v>75</v>
      </c>
    </row>
    <row r="9" spans="1:23">
      <c r="A9" s="4" t="s">
        <v>76</v>
      </c>
      <c r="B9">
        <v>4.8000000000000001E-2</v>
      </c>
    </row>
    <row r="10" spans="1:23">
      <c r="A10" s="4" t="s">
        <v>77</v>
      </c>
      <c r="B10">
        <v>0.189</v>
      </c>
    </row>
    <row r="11" spans="1:23">
      <c r="E11" s="74" t="s">
        <v>78</v>
      </c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</row>
    <row r="12" spans="1:23">
      <c r="B12" s="4" t="s">
        <v>79</v>
      </c>
      <c r="E12" s="74" t="s">
        <v>80</v>
      </c>
      <c r="F12" s="72"/>
      <c r="G12" s="72"/>
      <c r="I12" s="74" t="s">
        <v>81</v>
      </c>
      <c r="J12" s="74"/>
      <c r="K12" s="74"/>
      <c r="L12" s="4"/>
      <c r="M12" s="74" t="s">
        <v>82</v>
      </c>
      <c r="N12" s="74"/>
      <c r="O12" s="74"/>
      <c r="P12" s="4"/>
      <c r="Q12" s="74" t="s">
        <v>83</v>
      </c>
      <c r="R12" s="74"/>
      <c r="S12" s="74"/>
      <c r="T12" s="4"/>
      <c r="U12" s="74" t="s">
        <v>84</v>
      </c>
      <c r="V12" s="74"/>
      <c r="W12" s="74"/>
    </row>
    <row r="13" spans="1:23">
      <c r="B13" t="s">
        <v>85</v>
      </c>
      <c r="E13">
        <v>1.5964</v>
      </c>
      <c r="F13">
        <v>1.5948</v>
      </c>
      <c r="G13">
        <v>1.5936999999999999</v>
      </c>
      <c r="I13">
        <v>2.1375500000000001</v>
      </c>
      <c r="J13">
        <v>2.1371799999999999</v>
      </c>
      <c r="K13">
        <v>2.1374300000000002</v>
      </c>
      <c r="M13">
        <v>2.3159999999999998</v>
      </c>
      <c r="N13">
        <v>2.3759999999999999</v>
      </c>
      <c r="O13">
        <v>2.3769999999999998</v>
      </c>
      <c r="Q13">
        <v>1.8694</v>
      </c>
      <c r="R13">
        <v>1.8633999999999999</v>
      </c>
      <c r="S13">
        <v>1.8633</v>
      </c>
      <c r="U13">
        <v>1.5964</v>
      </c>
      <c r="V13">
        <v>1.5923</v>
      </c>
      <c r="W13">
        <v>1.5944</v>
      </c>
    </row>
    <row r="14" spans="1:23">
      <c r="B14" t="s">
        <v>6</v>
      </c>
      <c r="E14" s="19">
        <v>4.6821000000000002</v>
      </c>
      <c r="F14" s="19">
        <v>4.6872999999999996</v>
      </c>
      <c r="G14" s="19">
        <v>4.6882999999999999</v>
      </c>
      <c r="I14" s="19">
        <v>3.04461</v>
      </c>
      <c r="J14" s="19">
        <v>3.0421</v>
      </c>
      <c r="K14" s="19">
        <v>3.0421</v>
      </c>
      <c r="M14" s="19">
        <v>4.6609999999999996</v>
      </c>
      <c r="N14" s="19">
        <v>4.6638000000000002</v>
      </c>
      <c r="O14" s="19">
        <v>4.6628999999999996</v>
      </c>
      <c r="Q14" s="19">
        <v>2.5882000000000001</v>
      </c>
      <c r="R14" s="19">
        <v>2.5832000000000002</v>
      </c>
      <c r="S14" s="19">
        <v>2.5821999999999998</v>
      </c>
      <c r="U14" s="19">
        <v>4.3310000000000004</v>
      </c>
      <c r="V14" s="19">
        <v>4.3338000000000001</v>
      </c>
      <c r="W14" s="19">
        <v>4.3384</v>
      </c>
    </row>
    <row r="15" spans="1:23">
      <c r="B15" s="20" t="s">
        <v>57</v>
      </c>
      <c r="E15">
        <v>6.5724</v>
      </c>
      <c r="F15">
        <v>6.5719000000000003</v>
      </c>
      <c r="G15">
        <v>6.5743</v>
      </c>
      <c r="I15">
        <v>5.5331999999999999</v>
      </c>
      <c r="J15">
        <v>5.5350999999999999</v>
      </c>
      <c r="K15">
        <v>5.5354999999999999</v>
      </c>
      <c r="M15">
        <v>4.8323999999999998</v>
      </c>
      <c r="N15">
        <v>4.8311999999999999</v>
      </c>
      <c r="O15">
        <v>4.8331999999999997</v>
      </c>
      <c r="Q15">
        <v>5.7758000000000003</v>
      </c>
      <c r="R15">
        <v>5.7747999999999999</v>
      </c>
      <c r="S15">
        <v>5.7723000000000004</v>
      </c>
      <c r="U15">
        <v>4.9642999999999997</v>
      </c>
      <c r="V15">
        <v>4.9683000000000002</v>
      </c>
      <c r="W15">
        <v>4.9611999999999998</v>
      </c>
    </row>
    <row r="16" spans="1:23">
      <c r="B16" t="s">
        <v>52</v>
      </c>
      <c r="E16" s="19">
        <v>7.88</v>
      </c>
      <c r="F16" s="19">
        <v>7.22</v>
      </c>
      <c r="G16" s="19">
        <v>7.1929999999999996</v>
      </c>
      <c r="I16" s="19">
        <v>8.59</v>
      </c>
      <c r="J16" s="19">
        <v>8.2200000000000006</v>
      </c>
      <c r="K16" s="19">
        <v>8.75</v>
      </c>
      <c r="M16" s="19">
        <v>9.4499999999999993</v>
      </c>
      <c r="N16" s="19">
        <v>9.23</v>
      </c>
      <c r="O16" s="19">
        <v>9.74</v>
      </c>
      <c r="Q16" s="19">
        <v>7.95</v>
      </c>
      <c r="R16" s="19">
        <v>7.22</v>
      </c>
      <c r="S16" s="19">
        <v>7.45</v>
      </c>
      <c r="U16" s="19">
        <v>9.44</v>
      </c>
      <c r="V16" s="19">
        <v>9.19</v>
      </c>
      <c r="W16" s="19">
        <v>9.76</v>
      </c>
    </row>
    <row r="20" spans="2:23">
      <c r="B20" t="s">
        <v>86</v>
      </c>
      <c r="E20">
        <f>E13-B9</f>
        <v>1.5484</v>
      </c>
      <c r="F20">
        <f t="shared" ref="F20:W23" si="0">F13-C9</f>
        <v>1.5948</v>
      </c>
      <c r="G20">
        <f t="shared" si="0"/>
        <v>1.5936999999999999</v>
      </c>
      <c r="I20">
        <f t="shared" si="0"/>
        <v>2.1375500000000001</v>
      </c>
      <c r="J20">
        <f t="shared" si="0"/>
        <v>2.1371799999999999</v>
      </c>
      <c r="K20">
        <f t="shared" si="0"/>
        <v>2.1374300000000002</v>
      </c>
      <c r="M20">
        <f t="shared" si="0"/>
        <v>2.3159999999999998</v>
      </c>
      <c r="N20">
        <f t="shared" si="0"/>
        <v>2.3759999999999999</v>
      </c>
      <c r="O20">
        <f t="shared" si="0"/>
        <v>2.3769999999999998</v>
      </c>
      <c r="Q20">
        <f t="shared" si="0"/>
        <v>1.8694</v>
      </c>
      <c r="R20">
        <f t="shared" si="0"/>
        <v>1.8633999999999999</v>
      </c>
      <c r="S20">
        <f t="shared" si="0"/>
        <v>1.8633</v>
      </c>
      <c r="U20">
        <f t="shared" si="0"/>
        <v>1.5964</v>
      </c>
      <c r="V20">
        <f t="shared" si="0"/>
        <v>1.5923</v>
      </c>
      <c r="W20">
        <f t="shared" si="0"/>
        <v>1.5944</v>
      </c>
    </row>
    <row r="21" spans="2:23">
      <c r="E21">
        <f t="shared" ref="E21:E22" si="1">E14-B10</f>
        <v>4.4931000000000001</v>
      </c>
      <c r="F21">
        <f t="shared" si="0"/>
        <v>4.6872999999999996</v>
      </c>
      <c r="G21">
        <f t="shared" si="0"/>
        <v>4.6882999999999999</v>
      </c>
      <c r="I21">
        <f t="shared" si="0"/>
        <v>3.04461</v>
      </c>
      <c r="J21">
        <f t="shared" si="0"/>
        <v>3.0421</v>
      </c>
      <c r="K21">
        <f t="shared" si="0"/>
        <v>3.0421</v>
      </c>
      <c r="M21">
        <f t="shared" si="0"/>
        <v>4.6609999999999996</v>
      </c>
      <c r="N21">
        <f t="shared" si="0"/>
        <v>4.6638000000000002</v>
      </c>
      <c r="O21">
        <f t="shared" si="0"/>
        <v>4.6628999999999996</v>
      </c>
      <c r="Q21">
        <f t="shared" si="0"/>
        <v>2.5882000000000001</v>
      </c>
      <c r="R21">
        <f t="shared" si="0"/>
        <v>2.5832000000000002</v>
      </c>
      <c r="S21">
        <f t="shared" si="0"/>
        <v>2.5821999999999998</v>
      </c>
      <c r="U21">
        <f t="shared" si="0"/>
        <v>4.3310000000000004</v>
      </c>
      <c r="V21">
        <f t="shared" si="0"/>
        <v>4.3338000000000001</v>
      </c>
      <c r="W21">
        <f t="shared" si="0"/>
        <v>4.3384</v>
      </c>
    </row>
    <row r="22" spans="2:23">
      <c r="E22">
        <f t="shared" si="1"/>
        <v>6.5724</v>
      </c>
      <c r="F22">
        <f t="shared" si="0"/>
        <v>6.5719000000000003</v>
      </c>
      <c r="G22">
        <f t="shared" si="0"/>
        <v>6.5743</v>
      </c>
      <c r="I22">
        <f t="shared" si="0"/>
        <v>5.5331999999999999</v>
      </c>
      <c r="J22">
        <f t="shared" si="0"/>
        <v>5.5350999999999999</v>
      </c>
      <c r="K22">
        <f t="shared" si="0"/>
        <v>5.5354999999999999</v>
      </c>
      <c r="M22">
        <f t="shared" si="0"/>
        <v>4.8323999999999998</v>
      </c>
      <c r="N22">
        <f t="shared" si="0"/>
        <v>4.8311999999999999</v>
      </c>
      <c r="O22">
        <f t="shared" si="0"/>
        <v>4.8331999999999997</v>
      </c>
      <c r="Q22">
        <f t="shared" si="0"/>
        <v>5.7758000000000003</v>
      </c>
      <c r="R22">
        <f t="shared" si="0"/>
        <v>5.7747999999999999</v>
      </c>
      <c r="S22">
        <f t="shared" si="0"/>
        <v>5.7723000000000004</v>
      </c>
      <c r="U22">
        <f t="shared" si="0"/>
        <v>4.9642999999999997</v>
      </c>
      <c r="V22">
        <f t="shared" si="0"/>
        <v>4.9683000000000002</v>
      </c>
      <c r="W22">
        <f t="shared" si="0"/>
        <v>4.9611999999999998</v>
      </c>
    </row>
    <row r="23" spans="2:23">
      <c r="E23" s="19">
        <f>E16-B9</f>
        <v>7.8319999999999999</v>
      </c>
      <c r="F23">
        <f t="shared" si="0"/>
        <v>7.22</v>
      </c>
      <c r="G23">
        <f t="shared" si="0"/>
        <v>7.1929999999999996</v>
      </c>
      <c r="I23">
        <f t="shared" si="0"/>
        <v>8.59</v>
      </c>
      <c r="J23">
        <f t="shared" si="0"/>
        <v>8.2200000000000006</v>
      </c>
      <c r="K23">
        <f t="shared" si="0"/>
        <v>8.75</v>
      </c>
      <c r="M23">
        <f t="shared" si="0"/>
        <v>9.4499999999999993</v>
      </c>
      <c r="N23">
        <f t="shared" si="0"/>
        <v>9.23</v>
      </c>
      <c r="O23">
        <f t="shared" si="0"/>
        <v>9.74</v>
      </c>
      <c r="Q23">
        <f t="shared" si="0"/>
        <v>7.95</v>
      </c>
      <c r="R23">
        <f t="shared" si="0"/>
        <v>7.22</v>
      </c>
      <c r="S23">
        <f t="shared" si="0"/>
        <v>7.45</v>
      </c>
      <c r="U23">
        <f t="shared" si="0"/>
        <v>9.44</v>
      </c>
      <c r="V23">
        <f t="shared" si="0"/>
        <v>9.19</v>
      </c>
      <c r="W23">
        <f t="shared" si="0"/>
        <v>9.76</v>
      </c>
    </row>
    <row r="27" spans="2:23">
      <c r="B27" t="s">
        <v>87</v>
      </c>
      <c r="E27">
        <f>B10-B9</f>
        <v>0.14100000000000001</v>
      </c>
      <c r="F27">
        <v>0.14100000000000001</v>
      </c>
      <c r="G27">
        <v>0.14100000000000001</v>
      </c>
      <c r="I27">
        <v>0.14100000000000001</v>
      </c>
      <c r="J27">
        <v>0.14100000000000001</v>
      </c>
      <c r="K27">
        <v>0.14100000000000001</v>
      </c>
      <c r="M27">
        <v>0.14100000000000001</v>
      </c>
      <c r="N27">
        <v>0.14100000000000001</v>
      </c>
      <c r="O27">
        <v>0.14100000000000001</v>
      </c>
      <c r="Q27">
        <v>0.14100000000000001</v>
      </c>
      <c r="R27">
        <v>0.14100000000000001</v>
      </c>
      <c r="S27">
        <v>0.14100000000000001</v>
      </c>
      <c r="U27">
        <v>0.14100000000000001</v>
      </c>
      <c r="V27">
        <v>0.14100000000000001</v>
      </c>
      <c r="W27">
        <v>0.14100000000000001</v>
      </c>
    </row>
    <row r="28" spans="2:23">
      <c r="E28">
        <v>0.14100000000000001</v>
      </c>
      <c r="F28">
        <v>0.14100000000000001</v>
      </c>
      <c r="G28">
        <v>0.14100000000000001</v>
      </c>
      <c r="I28">
        <v>0.14100000000000001</v>
      </c>
      <c r="J28">
        <v>0.14100000000000001</v>
      </c>
      <c r="K28">
        <v>0.14100000000000001</v>
      </c>
      <c r="M28">
        <v>0.14100000000000001</v>
      </c>
      <c r="N28">
        <v>0.14100000000000001</v>
      </c>
      <c r="O28">
        <v>0.14100000000000001</v>
      </c>
      <c r="Q28">
        <v>0.14100000000000001</v>
      </c>
      <c r="R28">
        <v>0.14100000000000001</v>
      </c>
      <c r="S28">
        <v>0.14100000000000001</v>
      </c>
      <c r="U28">
        <v>0.14100000000000001</v>
      </c>
      <c r="V28">
        <v>0.14100000000000001</v>
      </c>
      <c r="W28">
        <v>0.14100000000000001</v>
      </c>
    </row>
    <row r="29" spans="2:23">
      <c r="E29">
        <v>0.14100000000000001</v>
      </c>
      <c r="F29">
        <v>0.14100000000000001</v>
      </c>
      <c r="G29">
        <v>0.14100000000000001</v>
      </c>
      <c r="I29">
        <v>0.14100000000000001</v>
      </c>
      <c r="J29">
        <v>0.14100000000000001</v>
      </c>
      <c r="K29">
        <v>0.14100000000000001</v>
      </c>
      <c r="M29">
        <v>0.14100000000000001</v>
      </c>
      <c r="N29">
        <v>0.14100000000000001</v>
      </c>
      <c r="O29">
        <v>0.14100000000000001</v>
      </c>
      <c r="Q29">
        <v>0.14100000000000001</v>
      </c>
      <c r="R29">
        <v>0.14100000000000001</v>
      </c>
      <c r="S29">
        <v>0.14100000000000001</v>
      </c>
      <c r="U29">
        <v>0.14100000000000001</v>
      </c>
      <c r="V29">
        <v>0.14100000000000001</v>
      </c>
      <c r="W29">
        <v>0.14100000000000001</v>
      </c>
    </row>
    <row r="30" spans="2:23">
      <c r="E30">
        <v>0.14100000000000001</v>
      </c>
      <c r="F30">
        <v>0.14100000000000001</v>
      </c>
      <c r="G30">
        <v>0.14100000000000001</v>
      </c>
      <c r="I30">
        <v>0.14100000000000001</v>
      </c>
      <c r="J30">
        <v>0.14100000000000001</v>
      </c>
      <c r="K30">
        <v>0.14100000000000001</v>
      </c>
      <c r="M30">
        <v>0.14100000000000001</v>
      </c>
      <c r="N30">
        <v>0.14100000000000001</v>
      </c>
      <c r="O30">
        <v>0.14100000000000001</v>
      </c>
      <c r="Q30">
        <v>0.14100000000000001</v>
      </c>
      <c r="R30">
        <v>0.14100000000000001</v>
      </c>
      <c r="S30">
        <v>0.14100000000000001</v>
      </c>
      <c r="U30">
        <v>0.14100000000000001</v>
      </c>
      <c r="V30">
        <v>0.14100000000000001</v>
      </c>
      <c r="W30">
        <v>0.14100000000000001</v>
      </c>
    </row>
    <row r="32" spans="2:23">
      <c r="B32" t="s">
        <v>88</v>
      </c>
      <c r="E32">
        <f>E20/E27</f>
        <v>10.981560283687942</v>
      </c>
      <c r="F32">
        <f t="shared" ref="F32:W32" si="2">F20/F27</f>
        <v>11.310638297872339</v>
      </c>
      <c r="G32">
        <f t="shared" si="2"/>
        <v>11.302836879432622</v>
      </c>
      <c r="I32">
        <f t="shared" si="2"/>
        <v>15.159929078014184</v>
      </c>
      <c r="J32">
        <f t="shared" si="2"/>
        <v>15.157304964539005</v>
      </c>
      <c r="K32">
        <f t="shared" si="2"/>
        <v>15.159078014184397</v>
      </c>
      <c r="M32">
        <f t="shared" si="2"/>
        <v>16.425531914893615</v>
      </c>
      <c r="N32">
        <f t="shared" si="2"/>
        <v>16.851063829787233</v>
      </c>
      <c r="O32">
        <f t="shared" si="2"/>
        <v>16.858156028368793</v>
      </c>
      <c r="Q32">
        <f t="shared" si="2"/>
        <v>13.258156028368793</v>
      </c>
      <c r="R32">
        <f t="shared" si="2"/>
        <v>13.21560283687943</v>
      </c>
      <c r="S32">
        <f t="shared" si="2"/>
        <v>13.214893617021275</v>
      </c>
      <c r="U32">
        <f t="shared" si="2"/>
        <v>11.321985815602837</v>
      </c>
      <c r="V32">
        <f t="shared" si="2"/>
        <v>11.292907801418439</v>
      </c>
      <c r="W32">
        <f t="shared" si="2"/>
        <v>11.307801418439716</v>
      </c>
    </row>
    <row r="33" spans="2:23">
      <c r="E33">
        <f t="shared" ref="E33:W35" si="3">E21/E28</f>
        <v>31.865957446808508</v>
      </c>
      <c r="F33">
        <f t="shared" si="3"/>
        <v>33.243262411347509</v>
      </c>
      <c r="G33">
        <f t="shared" si="3"/>
        <v>33.250354609929076</v>
      </c>
      <c r="I33">
        <f t="shared" si="3"/>
        <v>21.592978723404254</v>
      </c>
      <c r="J33">
        <f t="shared" si="3"/>
        <v>21.575177304964537</v>
      </c>
      <c r="K33">
        <f t="shared" si="3"/>
        <v>21.575177304964537</v>
      </c>
      <c r="M33">
        <f t="shared" si="3"/>
        <v>33.056737588652474</v>
      </c>
      <c r="N33">
        <f t="shared" si="3"/>
        <v>33.076595744680851</v>
      </c>
      <c r="O33">
        <f t="shared" si="3"/>
        <v>33.070212765957443</v>
      </c>
      <c r="Q33">
        <f t="shared" si="3"/>
        <v>18.356028368794323</v>
      </c>
      <c r="R33">
        <f t="shared" si="3"/>
        <v>18.320567375886522</v>
      </c>
      <c r="S33">
        <f t="shared" si="3"/>
        <v>18.313475177304962</v>
      </c>
      <c r="U33">
        <f t="shared" si="3"/>
        <v>30.716312056737589</v>
      </c>
      <c r="V33">
        <f t="shared" si="3"/>
        <v>30.736170212765956</v>
      </c>
      <c r="W33">
        <f t="shared" si="3"/>
        <v>30.768794326241132</v>
      </c>
    </row>
    <row r="34" spans="2:23">
      <c r="E34">
        <f t="shared" si="3"/>
        <v>46.612765957446804</v>
      </c>
      <c r="F34">
        <f t="shared" si="3"/>
        <v>46.609219858156024</v>
      </c>
      <c r="G34">
        <f t="shared" si="3"/>
        <v>46.626241134751766</v>
      </c>
      <c r="I34">
        <f t="shared" si="3"/>
        <v>39.242553191489357</v>
      </c>
      <c r="J34">
        <f t="shared" si="3"/>
        <v>39.256028368794318</v>
      </c>
      <c r="K34">
        <f t="shared" si="3"/>
        <v>39.258865248226947</v>
      </c>
      <c r="M34">
        <f t="shared" si="3"/>
        <v>34.272340425531908</v>
      </c>
      <c r="N34">
        <f t="shared" si="3"/>
        <v>34.263829787234037</v>
      </c>
      <c r="O34">
        <f t="shared" si="3"/>
        <v>34.278014184397158</v>
      </c>
      <c r="Q34">
        <f t="shared" si="3"/>
        <v>40.963120567375881</v>
      </c>
      <c r="R34">
        <f t="shared" si="3"/>
        <v>40.956028368794321</v>
      </c>
      <c r="S34">
        <f t="shared" si="3"/>
        <v>40.938297872340428</v>
      </c>
      <c r="U34">
        <f t="shared" si="3"/>
        <v>35.207801418439708</v>
      </c>
      <c r="V34">
        <f t="shared" si="3"/>
        <v>35.236170212765956</v>
      </c>
      <c r="W34">
        <f t="shared" si="3"/>
        <v>35.185815602836875</v>
      </c>
    </row>
    <row r="35" spans="2:23">
      <c r="E35">
        <f t="shared" si="3"/>
        <v>55.546099290780134</v>
      </c>
      <c r="F35">
        <f t="shared" si="3"/>
        <v>51.205673758865238</v>
      </c>
      <c r="G35">
        <f t="shared" si="3"/>
        <v>51.014184397163113</v>
      </c>
      <c r="I35">
        <f t="shared" si="3"/>
        <v>60.921985815602831</v>
      </c>
      <c r="J35">
        <f t="shared" si="3"/>
        <v>58.297872340425528</v>
      </c>
      <c r="K35">
        <f t="shared" si="3"/>
        <v>62.056737588652474</v>
      </c>
      <c r="M35">
        <f t="shared" si="3"/>
        <v>67.021276595744666</v>
      </c>
      <c r="N35">
        <f t="shared" si="3"/>
        <v>65.460992907801412</v>
      </c>
      <c r="O35">
        <f t="shared" si="3"/>
        <v>69.078014184397162</v>
      </c>
      <c r="Q35">
        <f t="shared" si="3"/>
        <v>56.38297872340425</v>
      </c>
      <c r="R35">
        <f t="shared" si="3"/>
        <v>51.205673758865238</v>
      </c>
      <c r="S35">
        <f t="shared" si="3"/>
        <v>52.836879432624109</v>
      </c>
      <c r="U35">
        <f t="shared" si="3"/>
        <v>66.950354609929065</v>
      </c>
      <c r="V35">
        <f t="shared" si="3"/>
        <v>65.17730496453899</v>
      </c>
      <c r="W35">
        <f t="shared" si="3"/>
        <v>69.219858156028366</v>
      </c>
    </row>
    <row r="38" spans="2:23">
      <c r="B38" t="s">
        <v>89</v>
      </c>
      <c r="E38">
        <f>E32*10</f>
        <v>109.81560283687942</v>
      </c>
      <c r="F38">
        <f t="shared" ref="F38:W38" si="4">F32*10</f>
        <v>113.10638297872339</v>
      </c>
      <c r="G38">
        <f t="shared" si="4"/>
        <v>113.02836879432621</v>
      </c>
      <c r="I38">
        <f t="shared" si="4"/>
        <v>151.59929078014184</v>
      </c>
      <c r="J38">
        <f t="shared" si="4"/>
        <v>151.57304964539006</v>
      </c>
      <c r="K38">
        <f t="shared" si="4"/>
        <v>151.59078014184396</v>
      </c>
      <c r="M38">
        <f t="shared" si="4"/>
        <v>164.25531914893614</v>
      </c>
      <c r="N38">
        <f t="shared" si="4"/>
        <v>168.51063829787233</v>
      </c>
      <c r="O38">
        <f t="shared" si="4"/>
        <v>168.58156028368793</v>
      </c>
      <c r="Q38">
        <f t="shared" si="4"/>
        <v>132.58156028368793</v>
      </c>
      <c r="R38">
        <f t="shared" si="4"/>
        <v>132.1560283687943</v>
      </c>
      <c r="S38">
        <f t="shared" si="4"/>
        <v>132.14893617021275</v>
      </c>
      <c r="U38">
        <f t="shared" si="4"/>
        <v>113.21985815602837</v>
      </c>
      <c r="V38">
        <f t="shared" si="4"/>
        <v>112.92907801418438</v>
      </c>
      <c r="W38">
        <f t="shared" si="4"/>
        <v>113.07801418439716</v>
      </c>
    </row>
    <row r="39" spans="2:23">
      <c r="E39">
        <f t="shared" ref="E39:W41" si="5">E33*10</f>
        <v>318.65957446808511</v>
      </c>
      <c r="F39">
        <f t="shared" si="5"/>
        <v>332.43262411347507</v>
      </c>
      <c r="G39">
        <f t="shared" si="5"/>
        <v>332.50354609929076</v>
      </c>
      <c r="I39">
        <f t="shared" si="5"/>
        <v>215.92978723404255</v>
      </c>
      <c r="J39">
        <f t="shared" si="5"/>
        <v>215.75177304964538</v>
      </c>
      <c r="K39">
        <f t="shared" si="5"/>
        <v>215.75177304964538</v>
      </c>
      <c r="M39">
        <f t="shared" si="5"/>
        <v>330.56737588652476</v>
      </c>
      <c r="N39">
        <f t="shared" si="5"/>
        <v>330.7659574468085</v>
      </c>
      <c r="O39">
        <f t="shared" si="5"/>
        <v>330.70212765957444</v>
      </c>
      <c r="Q39">
        <f t="shared" si="5"/>
        <v>183.56028368794324</v>
      </c>
      <c r="R39">
        <f t="shared" si="5"/>
        <v>183.20567375886523</v>
      </c>
      <c r="S39">
        <f t="shared" si="5"/>
        <v>183.13475177304963</v>
      </c>
      <c r="U39">
        <f t="shared" si="5"/>
        <v>307.16312056737587</v>
      </c>
      <c r="V39">
        <f t="shared" si="5"/>
        <v>307.36170212765956</v>
      </c>
      <c r="W39">
        <f t="shared" si="5"/>
        <v>307.6879432624113</v>
      </c>
    </row>
    <row r="40" spans="2:23">
      <c r="E40">
        <f t="shared" si="5"/>
        <v>466.12765957446805</v>
      </c>
      <c r="F40">
        <f t="shared" si="5"/>
        <v>466.09219858156024</v>
      </c>
      <c r="G40">
        <f t="shared" si="5"/>
        <v>466.26241134751763</v>
      </c>
      <c r="I40">
        <f t="shared" si="5"/>
        <v>392.42553191489355</v>
      </c>
      <c r="J40">
        <f t="shared" si="5"/>
        <v>392.56028368794318</v>
      </c>
      <c r="K40">
        <f t="shared" si="5"/>
        <v>392.58865248226948</v>
      </c>
      <c r="M40">
        <f t="shared" si="5"/>
        <v>342.72340425531911</v>
      </c>
      <c r="N40">
        <f t="shared" si="5"/>
        <v>342.63829787234039</v>
      </c>
      <c r="O40">
        <f t="shared" si="5"/>
        <v>342.78014184397159</v>
      </c>
      <c r="Q40">
        <f t="shared" si="5"/>
        <v>409.63120567375881</v>
      </c>
      <c r="R40">
        <f t="shared" si="5"/>
        <v>409.56028368794318</v>
      </c>
      <c r="S40">
        <f t="shared" si="5"/>
        <v>409.38297872340428</v>
      </c>
      <c r="U40">
        <f t="shared" si="5"/>
        <v>352.07801418439709</v>
      </c>
      <c r="V40">
        <f t="shared" si="5"/>
        <v>352.36170212765956</v>
      </c>
      <c r="W40">
        <f t="shared" si="5"/>
        <v>351.85815602836874</v>
      </c>
    </row>
    <row r="41" spans="2:23">
      <c r="E41">
        <f t="shared" si="5"/>
        <v>555.46099290780137</v>
      </c>
      <c r="F41">
        <f t="shared" si="5"/>
        <v>512.05673758865237</v>
      </c>
      <c r="G41">
        <f t="shared" si="5"/>
        <v>510.14184397163115</v>
      </c>
      <c r="I41">
        <f t="shared" si="5"/>
        <v>609.21985815602829</v>
      </c>
      <c r="J41">
        <f t="shared" si="5"/>
        <v>582.97872340425533</v>
      </c>
      <c r="K41">
        <f t="shared" si="5"/>
        <v>620.5673758865247</v>
      </c>
      <c r="M41">
        <f t="shared" si="5"/>
        <v>670.21276595744666</v>
      </c>
      <c r="N41">
        <f t="shared" si="5"/>
        <v>654.60992907801415</v>
      </c>
      <c r="O41">
        <f t="shared" si="5"/>
        <v>690.78014184397159</v>
      </c>
      <c r="Q41">
        <f t="shared" si="5"/>
        <v>563.82978723404244</v>
      </c>
      <c r="R41">
        <f t="shared" si="5"/>
        <v>512.05673758865237</v>
      </c>
      <c r="S41">
        <f t="shared" si="5"/>
        <v>528.36879432624107</v>
      </c>
      <c r="U41">
        <f t="shared" si="5"/>
        <v>669.50354609929059</v>
      </c>
      <c r="V41">
        <f t="shared" si="5"/>
        <v>651.77304964538985</v>
      </c>
      <c r="W41">
        <f t="shared" si="5"/>
        <v>692.19858156028363</v>
      </c>
    </row>
    <row r="45" spans="2:23">
      <c r="B45" t="s">
        <v>90</v>
      </c>
      <c r="E45">
        <f>AVERAGE(E38:G38)</f>
        <v>111.98345153664302</v>
      </c>
      <c r="I45">
        <f t="shared" ref="I45:U48" si="6">AVERAGE(I38:K38)</f>
        <v>151.58770685579194</v>
      </c>
      <c r="M45">
        <f t="shared" si="6"/>
        <v>167.11583924349881</v>
      </c>
      <c r="Q45">
        <f t="shared" si="6"/>
        <v>132.29550827423168</v>
      </c>
      <c r="U45">
        <f t="shared" si="6"/>
        <v>113.07565011820331</v>
      </c>
    </row>
    <row r="46" spans="2:23">
      <c r="E46">
        <f t="shared" ref="E46:E48" si="7">AVERAGE(E39:G39)</f>
        <v>327.86524822695031</v>
      </c>
      <c r="I46">
        <f t="shared" si="6"/>
        <v>215.8111111111111</v>
      </c>
      <c r="M46">
        <f t="shared" si="6"/>
        <v>330.6784869976359</v>
      </c>
      <c r="Q46">
        <f t="shared" si="6"/>
        <v>183.30023640661935</v>
      </c>
      <c r="U46">
        <f t="shared" si="6"/>
        <v>307.40425531914894</v>
      </c>
    </row>
    <row r="47" spans="2:23">
      <c r="E47">
        <f t="shared" si="7"/>
        <v>466.16075650118199</v>
      </c>
      <c r="I47">
        <f t="shared" si="6"/>
        <v>392.52482269503543</v>
      </c>
      <c r="M47">
        <f t="shared" si="6"/>
        <v>342.71394799054377</v>
      </c>
      <c r="Q47">
        <f t="shared" si="6"/>
        <v>409.52482269503543</v>
      </c>
      <c r="U47">
        <f t="shared" si="6"/>
        <v>352.09929078014176</v>
      </c>
    </row>
    <row r="48" spans="2:23">
      <c r="E48">
        <f t="shared" si="7"/>
        <v>525.88652482269492</v>
      </c>
      <c r="I48">
        <f t="shared" si="6"/>
        <v>604.25531914893611</v>
      </c>
      <c r="M48">
        <f t="shared" si="6"/>
        <v>671.86761229314413</v>
      </c>
      <c r="Q48">
        <f t="shared" si="6"/>
        <v>534.75177304964529</v>
      </c>
      <c r="U48">
        <f t="shared" si="6"/>
        <v>671.15839243498806</v>
      </c>
    </row>
  </sheetData>
  <mergeCells count="6">
    <mergeCell ref="E11:W11"/>
    <mergeCell ref="E12:G12"/>
    <mergeCell ref="I12:K12"/>
    <mergeCell ref="M12:O12"/>
    <mergeCell ref="Q12:S12"/>
    <mergeCell ref="U12:W1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4"/>
  <sheetViews>
    <sheetView workbookViewId="0"/>
  </sheetViews>
  <sheetFormatPr defaultRowHeight="15"/>
  <cols>
    <col min="1" max="1" width="28" customWidth="1"/>
    <col min="2" max="2" width="15.5703125" customWidth="1"/>
    <col min="4" max="4" width="12.28515625" customWidth="1"/>
    <col min="5" max="5" width="13" bestFit="1" customWidth="1"/>
  </cols>
  <sheetData>
    <row r="1" spans="1:23">
      <c r="A1" t="s">
        <v>408</v>
      </c>
    </row>
    <row r="2" spans="1:23">
      <c r="A2" s="4"/>
      <c r="B2" s="18" t="s">
        <v>91</v>
      </c>
      <c r="C2" s="18"/>
      <c r="D2" s="18"/>
      <c r="E2" s="18"/>
      <c r="F2" s="18"/>
      <c r="G2" s="18"/>
      <c r="H2" s="18"/>
      <c r="I2" s="18"/>
      <c r="J2" s="18"/>
      <c r="K2" s="18"/>
      <c r="L2" s="21"/>
    </row>
    <row r="4" spans="1:23">
      <c r="A4" s="4" t="s">
        <v>92</v>
      </c>
    </row>
    <row r="6" spans="1:23">
      <c r="A6" t="s">
        <v>93</v>
      </c>
      <c r="E6" s="19"/>
      <c r="F6" s="19"/>
      <c r="G6" s="19"/>
      <c r="I6" s="19"/>
      <c r="J6" s="19"/>
      <c r="K6" s="19"/>
      <c r="M6" s="19"/>
      <c r="N6" s="19"/>
      <c r="O6" s="19"/>
      <c r="Q6" s="19"/>
      <c r="R6" s="19"/>
      <c r="S6" s="19"/>
      <c r="U6" s="19"/>
      <c r="V6" s="19"/>
      <c r="W6" s="19"/>
    </row>
    <row r="7" spans="1:23">
      <c r="E7" s="19"/>
      <c r="F7" s="19"/>
      <c r="G7" s="19"/>
      <c r="I7" s="19"/>
      <c r="J7" s="19"/>
      <c r="K7" s="19"/>
      <c r="M7" s="19"/>
      <c r="N7" s="19"/>
      <c r="O7" s="19"/>
      <c r="Q7" s="19"/>
      <c r="R7" s="19"/>
      <c r="S7" s="19"/>
      <c r="U7" s="19"/>
      <c r="V7" s="19"/>
      <c r="W7" s="19"/>
    </row>
    <row r="8" spans="1:23">
      <c r="A8" t="s">
        <v>94</v>
      </c>
      <c r="E8" s="19"/>
      <c r="F8" s="19"/>
      <c r="G8" s="19"/>
      <c r="I8" s="19"/>
      <c r="J8" s="19"/>
      <c r="K8" s="19"/>
      <c r="M8" s="19"/>
      <c r="N8" s="19"/>
      <c r="O8" s="19"/>
      <c r="Q8" s="19"/>
      <c r="R8" s="19"/>
      <c r="S8" s="19"/>
      <c r="U8" s="19"/>
      <c r="V8" s="19"/>
      <c r="W8" s="19"/>
    </row>
    <row r="9" spans="1:23">
      <c r="E9" s="19"/>
      <c r="F9" s="19"/>
      <c r="G9" s="19"/>
      <c r="I9" s="19"/>
      <c r="J9" s="19"/>
      <c r="K9" s="19"/>
      <c r="M9" s="19"/>
      <c r="N9" s="19"/>
      <c r="O9" s="19"/>
      <c r="Q9" s="19"/>
      <c r="R9" s="19"/>
      <c r="S9" s="19"/>
      <c r="U9" s="19"/>
      <c r="V9" s="19"/>
      <c r="W9" s="19"/>
    </row>
    <row r="10" spans="1:23">
      <c r="A10" s="4" t="s">
        <v>74</v>
      </c>
      <c r="B10" s="4" t="s">
        <v>75</v>
      </c>
    </row>
    <row r="11" spans="1:23">
      <c r="A11" t="s">
        <v>95</v>
      </c>
      <c r="B11">
        <v>3.0000000000000001E-3</v>
      </c>
    </row>
    <row r="12" spans="1:23">
      <c r="A12" t="s">
        <v>96</v>
      </c>
      <c r="B12">
        <v>0.5</v>
      </c>
    </row>
    <row r="14" spans="1:23">
      <c r="D14" s="4" t="s">
        <v>79</v>
      </c>
      <c r="E14" s="74" t="s">
        <v>80</v>
      </c>
      <c r="F14" s="72"/>
      <c r="G14" s="72"/>
      <c r="I14" s="74" t="s">
        <v>81</v>
      </c>
      <c r="J14" s="74"/>
      <c r="K14" s="74"/>
      <c r="L14" s="4"/>
      <c r="M14" s="74" t="s">
        <v>82</v>
      </c>
      <c r="N14" s="74"/>
      <c r="O14" s="74"/>
      <c r="P14" s="4"/>
      <c r="Q14" s="74" t="s">
        <v>83</v>
      </c>
      <c r="R14" s="74"/>
      <c r="S14" s="74"/>
      <c r="T14" s="4"/>
      <c r="U14" s="74" t="s">
        <v>84</v>
      </c>
      <c r="V14" s="74"/>
      <c r="W14" s="74"/>
    </row>
    <row r="15" spans="1:23">
      <c r="D15" t="s">
        <v>85</v>
      </c>
      <c r="E15">
        <v>0.73429999999999995</v>
      </c>
      <c r="F15">
        <v>0.73880000000000001</v>
      </c>
      <c r="G15">
        <v>0.73960000000000004</v>
      </c>
      <c r="I15">
        <v>0.84965999999999997</v>
      </c>
      <c r="J15">
        <v>0.8458</v>
      </c>
      <c r="K15">
        <v>0.84550000000000003</v>
      </c>
      <c r="M15">
        <v>0.63490000000000002</v>
      </c>
      <c r="N15">
        <v>0.63880000000000003</v>
      </c>
      <c r="O15">
        <v>0.63970000000000005</v>
      </c>
      <c r="Q15">
        <v>0.94520000000000004</v>
      </c>
      <c r="R15">
        <v>0.94969999999999999</v>
      </c>
      <c r="S15">
        <v>0.94110000000000005</v>
      </c>
      <c r="U15">
        <v>1.0548</v>
      </c>
      <c r="V15">
        <v>1.0510999999999999</v>
      </c>
      <c r="W15">
        <v>1.0597000000000001</v>
      </c>
    </row>
    <row r="16" spans="1:23">
      <c r="D16" t="s">
        <v>62</v>
      </c>
      <c r="E16" s="19">
        <v>2.0194000000000001</v>
      </c>
      <c r="F16" s="19">
        <v>2.0192000000000001</v>
      </c>
      <c r="G16" s="19">
        <v>2.0198</v>
      </c>
      <c r="I16" s="19">
        <v>2.2559900000000002</v>
      </c>
      <c r="J16" s="19">
        <v>2.2538999999999998</v>
      </c>
      <c r="K16" s="19">
        <v>2.2585000000000002</v>
      </c>
      <c r="M16" s="19">
        <v>1.6974</v>
      </c>
      <c r="N16" s="19">
        <v>1.6949000000000001</v>
      </c>
      <c r="O16" s="19">
        <v>1.6919</v>
      </c>
      <c r="Q16" s="19">
        <v>1.6796</v>
      </c>
      <c r="R16" s="19">
        <v>1.6774</v>
      </c>
      <c r="S16" s="19">
        <v>1.6762999999999999</v>
      </c>
      <c r="U16" s="19">
        <v>2.6951999999999998</v>
      </c>
      <c r="V16" s="19">
        <v>2.6944300000000001</v>
      </c>
      <c r="W16" s="19">
        <v>2.6913999999999998</v>
      </c>
    </row>
    <row r="17" spans="1:23">
      <c r="D17" s="20" t="s">
        <v>57</v>
      </c>
      <c r="E17">
        <v>1.8954</v>
      </c>
      <c r="F17">
        <v>1.8951</v>
      </c>
      <c r="G17">
        <v>1.8957999999999999</v>
      </c>
      <c r="I17">
        <v>1.4987999999999999</v>
      </c>
      <c r="J17">
        <v>1.49841</v>
      </c>
      <c r="K17">
        <v>1.4984999999999999</v>
      </c>
      <c r="M17">
        <v>1.2945</v>
      </c>
      <c r="N17">
        <v>1.2972999999999999</v>
      </c>
      <c r="O17">
        <v>1.2990999999999999</v>
      </c>
      <c r="Q17">
        <v>1.7568999999999999</v>
      </c>
      <c r="R17">
        <v>1.7527999999999999</v>
      </c>
      <c r="S17">
        <v>1.7574000000000001</v>
      </c>
      <c r="U17">
        <v>2.1294</v>
      </c>
      <c r="V17">
        <v>2.1217999999999999</v>
      </c>
      <c r="W17">
        <v>2.1273</v>
      </c>
    </row>
    <row r="18" spans="1:23">
      <c r="D18" t="s">
        <v>102</v>
      </c>
      <c r="E18" s="19">
        <v>6.4390000000000001</v>
      </c>
      <c r="F18" s="19">
        <v>6.665</v>
      </c>
      <c r="G18" s="19">
        <v>6.11</v>
      </c>
      <c r="I18" s="19">
        <v>3.66</v>
      </c>
      <c r="J18" s="19">
        <v>3.95</v>
      </c>
      <c r="K18" s="19">
        <v>3.76</v>
      </c>
      <c r="M18" s="19">
        <v>6.85</v>
      </c>
      <c r="N18" s="19">
        <v>6.91</v>
      </c>
      <c r="O18" s="19">
        <v>6.56</v>
      </c>
      <c r="Q18" s="19">
        <v>4.2300000000000004</v>
      </c>
      <c r="R18" s="19">
        <v>4.7699999999999996</v>
      </c>
      <c r="S18" s="19">
        <v>4.6559999999999997</v>
      </c>
      <c r="U18" s="19">
        <v>5.8760000000000003</v>
      </c>
      <c r="V18" s="19">
        <v>5.3460000000000001</v>
      </c>
      <c r="W18" s="19">
        <v>5.3319999999999999</v>
      </c>
    </row>
    <row r="21" spans="1:23">
      <c r="A21" t="s">
        <v>97</v>
      </c>
      <c r="E21">
        <f>E15-B11</f>
        <v>0.73129999999999995</v>
      </c>
      <c r="F21">
        <f t="shared" ref="F21:W24" si="0">F15-C11</f>
        <v>0.73880000000000001</v>
      </c>
      <c r="G21">
        <f t="shared" si="0"/>
        <v>0.73960000000000004</v>
      </c>
      <c r="I21">
        <f t="shared" si="0"/>
        <v>0.84965999999999997</v>
      </c>
      <c r="J21">
        <f t="shared" si="0"/>
        <v>0.8458</v>
      </c>
      <c r="K21">
        <f t="shared" si="0"/>
        <v>0.84550000000000003</v>
      </c>
      <c r="M21">
        <f t="shared" si="0"/>
        <v>0.63490000000000002</v>
      </c>
      <c r="N21">
        <f t="shared" si="0"/>
        <v>0.63880000000000003</v>
      </c>
      <c r="O21">
        <f t="shared" si="0"/>
        <v>0.63970000000000005</v>
      </c>
      <c r="Q21">
        <f t="shared" si="0"/>
        <v>0.94520000000000004</v>
      </c>
      <c r="R21">
        <f t="shared" si="0"/>
        <v>0.94969999999999999</v>
      </c>
      <c r="S21">
        <f t="shared" si="0"/>
        <v>0.94110000000000005</v>
      </c>
      <c r="U21">
        <f t="shared" si="0"/>
        <v>1.0548</v>
      </c>
      <c r="V21">
        <f t="shared" si="0"/>
        <v>1.0510999999999999</v>
      </c>
      <c r="W21">
        <f t="shared" si="0"/>
        <v>1.0597000000000001</v>
      </c>
    </row>
    <row r="22" spans="1:23">
      <c r="E22">
        <f t="shared" ref="E22:E24" si="1">E16-B12</f>
        <v>1.5194000000000001</v>
      </c>
      <c r="F22">
        <f t="shared" si="0"/>
        <v>2.0192000000000001</v>
      </c>
      <c r="G22">
        <f t="shared" si="0"/>
        <v>2.0198</v>
      </c>
      <c r="I22">
        <f t="shared" si="0"/>
        <v>2.2559900000000002</v>
      </c>
      <c r="J22">
        <f t="shared" si="0"/>
        <v>2.2538999999999998</v>
      </c>
      <c r="K22">
        <f t="shared" si="0"/>
        <v>2.2585000000000002</v>
      </c>
      <c r="M22">
        <f t="shared" si="0"/>
        <v>1.6974</v>
      </c>
      <c r="N22">
        <f t="shared" si="0"/>
        <v>1.6949000000000001</v>
      </c>
      <c r="O22">
        <f t="shared" si="0"/>
        <v>1.6919</v>
      </c>
      <c r="Q22">
        <f t="shared" si="0"/>
        <v>1.6796</v>
      </c>
      <c r="R22">
        <f t="shared" si="0"/>
        <v>1.6774</v>
      </c>
      <c r="S22">
        <f t="shared" si="0"/>
        <v>1.6762999999999999</v>
      </c>
      <c r="U22">
        <f t="shared" si="0"/>
        <v>2.6951999999999998</v>
      </c>
      <c r="V22">
        <f t="shared" si="0"/>
        <v>2.6944300000000001</v>
      </c>
      <c r="W22">
        <f t="shared" si="0"/>
        <v>2.6913999999999998</v>
      </c>
    </row>
    <row r="23" spans="1:23">
      <c r="E23">
        <f t="shared" si="1"/>
        <v>1.8954</v>
      </c>
      <c r="F23">
        <f t="shared" si="0"/>
        <v>1.8951</v>
      </c>
      <c r="G23">
        <f t="shared" si="0"/>
        <v>1.8957999999999999</v>
      </c>
      <c r="I23">
        <f t="shared" si="0"/>
        <v>1.4987999999999999</v>
      </c>
      <c r="J23">
        <f t="shared" si="0"/>
        <v>1.49841</v>
      </c>
      <c r="K23">
        <f t="shared" si="0"/>
        <v>1.4984999999999999</v>
      </c>
      <c r="M23">
        <f t="shared" si="0"/>
        <v>1.2945</v>
      </c>
      <c r="N23">
        <f t="shared" si="0"/>
        <v>1.2972999999999999</v>
      </c>
      <c r="O23">
        <f t="shared" si="0"/>
        <v>1.2990999999999999</v>
      </c>
      <c r="Q23">
        <f t="shared" si="0"/>
        <v>1.7568999999999999</v>
      </c>
      <c r="R23">
        <f t="shared" si="0"/>
        <v>1.7527999999999999</v>
      </c>
      <c r="S23">
        <f t="shared" si="0"/>
        <v>1.7574000000000001</v>
      </c>
      <c r="U23">
        <f t="shared" si="0"/>
        <v>2.1294</v>
      </c>
      <c r="V23">
        <f t="shared" si="0"/>
        <v>2.1217999999999999</v>
      </c>
      <c r="W23">
        <f t="shared" si="0"/>
        <v>2.1273</v>
      </c>
    </row>
    <row r="24" spans="1:23">
      <c r="E24">
        <f t="shared" si="1"/>
        <v>6.4390000000000001</v>
      </c>
      <c r="F24">
        <f t="shared" si="0"/>
        <v>6.665</v>
      </c>
      <c r="G24">
        <f>G18-B11</f>
        <v>6.1070000000000002</v>
      </c>
      <c r="I24">
        <f t="shared" si="0"/>
        <v>3.66</v>
      </c>
      <c r="J24">
        <f t="shared" si="0"/>
        <v>3.95</v>
      </c>
      <c r="K24">
        <f t="shared" si="0"/>
        <v>3.76</v>
      </c>
      <c r="M24">
        <f t="shared" si="0"/>
        <v>6.85</v>
      </c>
      <c r="N24">
        <f t="shared" si="0"/>
        <v>6.91</v>
      </c>
      <c r="O24">
        <f t="shared" si="0"/>
        <v>6.56</v>
      </c>
      <c r="Q24">
        <f t="shared" si="0"/>
        <v>4.2300000000000004</v>
      </c>
      <c r="R24">
        <f t="shared" si="0"/>
        <v>4.7699999999999996</v>
      </c>
      <c r="S24">
        <f t="shared" si="0"/>
        <v>4.6559999999999997</v>
      </c>
      <c r="U24">
        <f t="shared" si="0"/>
        <v>5.8760000000000003</v>
      </c>
      <c r="V24">
        <f t="shared" si="0"/>
        <v>5.3460000000000001</v>
      </c>
      <c r="W24">
        <f t="shared" si="0"/>
        <v>5.3319999999999999</v>
      </c>
    </row>
    <row r="26" spans="1:23">
      <c r="A26" t="s">
        <v>98</v>
      </c>
      <c r="E26">
        <v>65.38</v>
      </c>
      <c r="F26">
        <v>63.29</v>
      </c>
      <c r="G26">
        <v>66.23</v>
      </c>
      <c r="I26">
        <v>45.29</v>
      </c>
      <c r="J26">
        <v>45.66</v>
      </c>
      <c r="K26">
        <v>45.19</v>
      </c>
      <c r="M26">
        <v>35.96</v>
      </c>
      <c r="N26">
        <v>34.19</v>
      </c>
      <c r="O26">
        <v>35.81</v>
      </c>
      <c r="Q26">
        <v>22.19</v>
      </c>
      <c r="R26">
        <v>22.68</v>
      </c>
      <c r="S26">
        <v>22.43</v>
      </c>
      <c r="U26">
        <v>25.28</v>
      </c>
      <c r="V26">
        <v>25.93</v>
      </c>
      <c r="W26">
        <v>25.82</v>
      </c>
    </row>
    <row r="27" spans="1:23">
      <c r="E27">
        <v>35.58</v>
      </c>
      <c r="F27">
        <v>34.19</v>
      </c>
      <c r="G27">
        <v>34.11</v>
      </c>
      <c r="I27">
        <v>61.92</v>
      </c>
      <c r="J27">
        <v>61.39</v>
      </c>
      <c r="K27">
        <v>67.39</v>
      </c>
      <c r="M27">
        <v>44.29</v>
      </c>
      <c r="N27">
        <v>44.19</v>
      </c>
      <c r="O27">
        <v>44.91</v>
      </c>
      <c r="Q27">
        <v>28.49</v>
      </c>
      <c r="R27">
        <v>28.53</v>
      </c>
      <c r="S27">
        <v>28.66</v>
      </c>
      <c r="U27">
        <v>38.479999999999997</v>
      </c>
      <c r="V27">
        <v>38.270000000000003</v>
      </c>
      <c r="W27">
        <v>38.22</v>
      </c>
    </row>
    <row r="28" spans="1:23">
      <c r="E28">
        <v>45.83</v>
      </c>
      <c r="F28">
        <v>45.11</v>
      </c>
      <c r="G28">
        <v>45.43</v>
      </c>
      <c r="I28">
        <v>23.58</v>
      </c>
      <c r="J28">
        <v>23.95</v>
      </c>
      <c r="K28">
        <v>23.8</v>
      </c>
      <c r="M28">
        <v>54.84</v>
      </c>
      <c r="N28">
        <v>54.18</v>
      </c>
      <c r="O28">
        <v>54.28</v>
      </c>
      <c r="Q28">
        <v>65.28</v>
      </c>
      <c r="R28">
        <v>65.19</v>
      </c>
      <c r="S28">
        <v>65.91</v>
      </c>
      <c r="U28">
        <v>74.12</v>
      </c>
      <c r="V28">
        <v>72.12</v>
      </c>
      <c r="W28">
        <v>74.272999999999996</v>
      </c>
    </row>
    <row r="29" spans="1:23">
      <c r="E29">
        <v>21.17</v>
      </c>
      <c r="F29">
        <v>21.33</v>
      </c>
      <c r="G29">
        <v>21.48</v>
      </c>
      <c r="I29">
        <v>34.58</v>
      </c>
      <c r="J29">
        <v>34.82</v>
      </c>
      <c r="K29">
        <v>34.11</v>
      </c>
      <c r="M29">
        <v>30.18</v>
      </c>
      <c r="N29">
        <v>30.88</v>
      </c>
      <c r="O29">
        <v>30.72</v>
      </c>
      <c r="Q29">
        <v>31.38</v>
      </c>
      <c r="R29">
        <v>31.38</v>
      </c>
      <c r="S29">
        <v>31.83</v>
      </c>
      <c r="U29">
        <v>28.28</v>
      </c>
      <c r="V29">
        <v>28.22</v>
      </c>
      <c r="W29">
        <v>28.94</v>
      </c>
    </row>
    <row r="32" spans="1:23">
      <c r="A32" t="s">
        <v>99</v>
      </c>
      <c r="E32">
        <f>22*0.5*E26*1000</f>
        <v>719180</v>
      </c>
      <c r="F32">
        <f t="shared" ref="F32:W32" si="2">22*0.5*F26*1000</f>
        <v>696189.99999999988</v>
      </c>
      <c r="G32">
        <f t="shared" si="2"/>
        <v>728530.00000000012</v>
      </c>
      <c r="I32">
        <f t="shared" si="2"/>
        <v>498190</v>
      </c>
      <c r="J32">
        <f t="shared" si="2"/>
        <v>502260</v>
      </c>
      <c r="K32">
        <f t="shared" si="2"/>
        <v>497090</v>
      </c>
      <c r="M32">
        <f t="shared" si="2"/>
        <v>395560</v>
      </c>
      <c r="N32">
        <f t="shared" si="2"/>
        <v>376090</v>
      </c>
      <c r="O32">
        <f t="shared" si="2"/>
        <v>393910</v>
      </c>
      <c r="Q32">
        <f t="shared" si="2"/>
        <v>244090</v>
      </c>
      <c r="R32">
        <f t="shared" si="2"/>
        <v>249480</v>
      </c>
      <c r="S32">
        <f t="shared" si="2"/>
        <v>246730</v>
      </c>
      <c r="U32">
        <f t="shared" si="2"/>
        <v>278080.00000000006</v>
      </c>
      <c r="V32">
        <f t="shared" si="2"/>
        <v>285230</v>
      </c>
      <c r="W32">
        <f t="shared" si="2"/>
        <v>284020</v>
      </c>
    </row>
    <row r="33" spans="1:23">
      <c r="E33">
        <f t="shared" ref="E33:V35" si="3">22*0.5*E27*1000</f>
        <v>391380</v>
      </c>
      <c r="F33">
        <f t="shared" si="3"/>
        <v>376090</v>
      </c>
      <c r="G33">
        <f t="shared" si="3"/>
        <v>375210</v>
      </c>
      <c r="I33">
        <f t="shared" si="3"/>
        <v>681120</v>
      </c>
      <c r="J33">
        <f t="shared" si="3"/>
        <v>675290</v>
      </c>
      <c r="K33">
        <f t="shared" si="3"/>
        <v>741290</v>
      </c>
      <c r="M33">
        <f t="shared" si="3"/>
        <v>487190</v>
      </c>
      <c r="N33">
        <f t="shared" si="3"/>
        <v>486090</v>
      </c>
      <c r="O33">
        <f t="shared" si="3"/>
        <v>494010</v>
      </c>
      <c r="Q33">
        <f t="shared" si="3"/>
        <v>313390</v>
      </c>
      <c r="R33">
        <f t="shared" si="3"/>
        <v>313830.00000000006</v>
      </c>
      <c r="S33">
        <f t="shared" si="3"/>
        <v>315260</v>
      </c>
      <c r="U33">
        <f t="shared" si="3"/>
        <v>423280</v>
      </c>
      <c r="V33">
        <f t="shared" si="3"/>
        <v>420970</v>
      </c>
      <c r="W33">
        <f>22*0.5*W27*1000</f>
        <v>420419.99999999994</v>
      </c>
    </row>
    <row r="34" spans="1:23">
      <c r="E34">
        <f t="shared" si="3"/>
        <v>504130</v>
      </c>
      <c r="F34">
        <f t="shared" si="3"/>
        <v>496210</v>
      </c>
      <c r="G34">
        <f t="shared" si="3"/>
        <v>499730</v>
      </c>
      <c r="I34">
        <f t="shared" si="3"/>
        <v>259380</v>
      </c>
      <c r="J34">
        <f t="shared" si="3"/>
        <v>263450</v>
      </c>
      <c r="K34">
        <f t="shared" si="3"/>
        <v>261800</v>
      </c>
      <c r="M34">
        <f t="shared" si="3"/>
        <v>603240</v>
      </c>
      <c r="N34">
        <f t="shared" si="3"/>
        <v>595980</v>
      </c>
      <c r="O34">
        <f t="shared" si="3"/>
        <v>597080</v>
      </c>
      <c r="Q34">
        <f t="shared" si="3"/>
        <v>718080</v>
      </c>
      <c r="R34">
        <f t="shared" si="3"/>
        <v>717089.99999999988</v>
      </c>
      <c r="S34">
        <f t="shared" si="3"/>
        <v>725010</v>
      </c>
      <c r="U34">
        <f t="shared" si="3"/>
        <v>815320</v>
      </c>
      <c r="V34">
        <f t="shared" si="3"/>
        <v>793320</v>
      </c>
      <c r="W34">
        <f t="shared" ref="W34:W35" si="4">22*0.5*W28*1000</f>
        <v>817002.99999999988</v>
      </c>
    </row>
    <row r="35" spans="1:23">
      <c r="E35">
        <f>22*0.5*E29*1000</f>
        <v>232870</v>
      </c>
      <c r="F35">
        <f t="shared" si="3"/>
        <v>234630</v>
      </c>
      <c r="G35">
        <f t="shared" si="3"/>
        <v>236280</v>
      </c>
      <c r="I35">
        <f t="shared" si="3"/>
        <v>380380</v>
      </c>
      <c r="J35">
        <f t="shared" si="3"/>
        <v>383020</v>
      </c>
      <c r="K35">
        <f t="shared" si="3"/>
        <v>375210</v>
      </c>
      <c r="M35">
        <f t="shared" si="3"/>
        <v>331980</v>
      </c>
      <c r="N35">
        <f t="shared" si="3"/>
        <v>339680</v>
      </c>
      <c r="O35">
        <f t="shared" si="3"/>
        <v>337919.99999999994</v>
      </c>
      <c r="Q35">
        <f t="shared" si="3"/>
        <v>345180</v>
      </c>
      <c r="R35">
        <f t="shared" si="3"/>
        <v>345180</v>
      </c>
      <c r="S35">
        <f t="shared" si="3"/>
        <v>350130</v>
      </c>
      <c r="U35">
        <f t="shared" si="3"/>
        <v>311080.00000000006</v>
      </c>
      <c r="V35">
        <f t="shared" si="3"/>
        <v>310419.99999999994</v>
      </c>
      <c r="W35">
        <f t="shared" si="4"/>
        <v>318340.00000000006</v>
      </c>
    </row>
    <row r="38" spans="1:23">
      <c r="A38" t="s">
        <v>100</v>
      </c>
      <c r="E38">
        <f>E21/E32</f>
        <v>1.0168525264885007E-6</v>
      </c>
      <c r="F38">
        <f t="shared" ref="F38:W38" si="5">F21/F32</f>
        <v>1.0612045562274668E-6</v>
      </c>
      <c r="G38">
        <f t="shared" si="5"/>
        <v>1.0151949816754285E-6</v>
      </c>
      <c r="I38">
        <f t="shared" si="5"/>
        <v>1.7054938878741043E-6</v>
      </c>
      <c r="J38">
        <f t="shared" si="5"/>
        <v>1.6839883725560467E-6</v>
      </c>
      <c r="K38">
        <f t="shared" si="5"/>
        <v>1.7008992335391983E-6</v>
      </c>
      <c r="M38">
        <f t="shared" si="5"/>
        <v>1.6050662352108404E-6</v>
      </c>
      <c r="N38">
        <f t="shared" si="5"/>
        <v>1.6985296072748544E-6</v>
      </c>
      <c r="O38">
        <f t="shared" si="5"/>
        <v>1.623975019674545E-6</v>
      </c>
      <c r="Q38">
        <f t="shared" si="5"/>
        <v>3.8723421688721371E-6</v>
      </c>
      <c r="R38">
        <f t="shared" si="5"/>
        <v>3.80671797338464E-6</v>
      </c>
      <c r="S38">
        <f t="shared" si="5"/>
        <v>3.814290925302963E-6</v>
      </c>
      <c r="U38">
        <f t="shared" si="5"/>
        <v>3.7931530494821623E-6</v>
      </c>
      <c r="V38">
        <f t="shared" si="5"/>
        <v>3.6850962381236192E-6</v>
      </c>
      <c r="W38">
        <f t="shared" si="5"/>
        <v>3.731075276388987E-6</v>
      </c>
    </row>
    <row r="39" spans="1:23">
      <c r="E39">
        <f t="shared" ref="E39:W41" si="6">E22/E33</f>
        <v>3.8821605600694981E-6</v>
      </c>
      <c r="F39">
        <f t="shared" si="6"/>
        <v>5.3689276502964722E-6</v>
      </c>
      <c r="G39">
        <f t="shared" si="6"/>
        <v>5.3831187868127183E-6</v>
      </c>
      <c r="I39">
        <f t="shared" si="6"/>
        <v>3.3121770025839797E-6</v>
      </c>
      <c r="J39">
        <f t="shared" si="6"/>
        <v>3.3376771461150022E-6</v>
      </c>
      <c r="K39">
        <f t="shared" si="6"/>
        <v>3.0467158601896697E-6</v>
      </c>
      <c r="M39">
        <f t="shared" si="6"/>
        <v>3.4840616597220797E-6</v>
      </c>
      <c r="N39">
        <f t="shared" si="6"/>
        <v>3.4868028554382935E-6</v>
      </c>
      <c r="O39">
        <f t="shared" si="6"/>
        <v>3.424829456893585E-6</v>
      </c>
      <c r="Q39">
        <f t="shared" si="6"/>
        <v>5.3594562685471776E-6</v>
      </c>
      <c r="R39">
        <f t="shared" si="6"/>
        <v>5.3449319695376471E-6</v>
      </c>
      <c r="S39">
        <f t="shared" si="6"/>
        <v>5.3171985028230665E-6</v>
      </c>
      <c r="U39">
        <f t="shared" si="6"/>
        <v>6.3674163674163667E-6</v>
      </c>
      <c r="V39">
        <f t="shared" si="6"/>
        <v>6.4005273534931235E-6</v>
      </c>
      <c r="W39">
        <f t="shared" si="6"/>
        <v>6.4016935445506878E-6</v>
      </c>
    </row>
    <row r="40" spans="1:23">
      <c r="E40">
        <f t="shared" si="6"/>
        <v>3.759744510344554E-6</v>
      </c>
      <c r="F40">
        <f t="shared" si="6"/>
        <v>3.8191491505612544E-6</v>
      </c>
      <c r="G40">
        <f t="shared" si="6"/>
        <v>3.7936485702279228E-6</v>
      </c>
      <c r="I40">
        <f t="shared" si="6"/>
        <v>5.7783946333564653E-6</v>
      </c>
      <c r="J40">
        <f t="shared" si="6"/>
        <v>5.687644714367053E-6</v>
      </c>
      <c r="K40">
        <f t="shared" si="6"/>
        <v>5.7238349885408708E-6</v>
      </c>
      <c r="M40">
        <f t="shared" si="6"/>
        <v>2.1459120747961009E-6</v>
      </c>
      <c r="N40">
        <f t="shared" si="6"/>
        <v>2.1767508976811302E-6</v>
      </c>
      <c r="O40">
        <f t="shared" si="6"/>
        <v>2.1757553426676491E-6</v>
      </c>
      <c r="Q40">
        <f t="shared" si="6"/>
        <v>2.4466633244206774E-6</v>
      </c>
      <c r="R40">
        <f t="shared" si="6"/>
        <v>2.4443235856029231E-6</v>
      </c>
      <c r="S40">
        <f t="shared" si="6"/>
        <v>2.4239665659784003E-6</v>
      </c>
      <c r="U40">
        <f t="shared" si="6"/>
        <v>2.6117352695874011E-6</v>
      </c>
      <c r="V40">
        <f t="shared" si="6"/>
        <v>2.6745827660969092E-6</v>
      </c>
      <c r="W40">
        <f t="shared" si="6"/>
        <v>2.6037848086237139E-6</v>
      </c>
    </row>
    <row r="41" spans="1:23">
      <c r="E41">
        <f t="shared" si="6"/>
        <v>2.7650620517885516E-5</v>
      </c>
      <c r="F41">
        <f t="shared" si="6"/>
        <v>2.8406427140604356E-5</v>
      </c>
      <c r="G41">
        <f t="shared" si="6"/>
        <v>2.5846453360419843E-5</v>
      </c>
      <c r="I41">
        <f t="shared" si="6"/>
        <v>9.6219569903780439E-6</v>
      </c>
      <c r="J41">
        <f t="shared" si="6"/>
        <v>1.031277740065793E-5</v>
      </c>
      <c r="K41">
        <f t="shared" si="6"/>
        <v>1.0021054875936141E-5</v>
      </c>
      <c r="M41">
        <f t="shared" si="6"/>
        <v>2.063377311886258E-5</v>
      </c>
      <c r="N41">
        <f t="shared" si="6"/>
        <v>2.0342675459255771E-5</v>
      </c>
      <c r="O41">
        <f t="shared" si="6"/>
        <v>1.941287878787879E-5</v>
      </c>
      <c r="Q41">
        <f t="shared" si="6"/>
        <v>1.2254475925604034E-5</v>
      </c>
      <c r="R41">
        <f t="shared" si="6"/>
        <v>1.3818877107596035E-5</v>
      </c>
      <c r="S41">
        <f t="shared" si="6"/>
        <v>1.3297917916202552E-5</v>
      </c>
      <c r="U41">
        <f t="shared" si="6"/>
        <v>1.8889031760318887E-5</v>
      </c>
      <c r="V41">
        <f t="shared" si="6"/>
        <v>1.7221828490432322E-5</v>
      </c>
      <c r="W41">
        <f t="shared" si="6"/>
        <v>1.6749387447383298E-5</v>
      </c>
    </row>
    <row r="45" spans="1:23">
      <c r="A45" t="s">
        <v>101</v>
      </c>
      <c r="E45">
        <f>E38*12500000</f>
        <v>12.710656581106258</v>
      </c>
      <c r="F45">
        <f t="shared" ref="F45:W45" si="7">F38*12500000</f>
        <v>13.265056952843334</v>
      </c>
      <c r="G45">
        <f t="shared" si="7"/>
        <v>12.689937270942856</v>
      </c>
      <c r="I45">
        <f t="shared" si="7"/>
        <v>21.318673598426304</v>
      </c>
      <c r="J45">
        <f t="shared" si="7"/>
        <v>21.049854656950583</v>
      </c>
      <c r="K45">
        <f t="shared" si="7"/>
        <v>21.261240419239979</v>
      </c>
      <c r="M45">
        <f t="shared" si="7"/>
        <v>20.063327940135505</v>
      </c>
      <c r="N45">
        <f t="shared" si="7"/>
        <v>21.231620090935682</v>
      </c>
      <c r="O45">
        <f t="shared" si="7"/>
        <v>20.299687745931813</v>
      </c>
      <c r="Q45">
        <f t="shared" si="7"/>
        <v>48.404277110901717</v>
      </c>
      <c r="R45">
        <f t="shared" si="7"/>
        <v>47.583974667307999</v>
      </c>
      <c r="S45">
        <f t="shared" si="7"/>
        <v>47.678636566287039</v>
      </c>
      <c r="U45">
        <f t="shared" si="7"/>
        <v>47.41441311852703</v>
      </c>
      <c r="V45">
        <f t="shared" si="7"/>
        <v>46.063702976545237</v>
      </c>
      <c r="W45">
        <f t="shared" si="7"/>
        <v>46.63844095486234</v>
      </c>
    </row>
    <row r="46" spans="1:23">
      <c r="E46">
        <f t="shared" ref="E46:W48" si="8">E39*12500000</f>
        <v>48.527007000868728</v>
      </c>
      <c r="F46">
        <f t="shared" si="8"/>
        <v>67.111595628705899</v>
      </c>
      <c r="G46">
        <f t="shared" si="8"/>
        <v>67.288984835158985</v>
      </c>
      <c r="I46">
        <f t="shared" si="8"/>
        <v>41.40221253229975</v>
      </c>
      <c r="J46">
        <f t="shared" si="8"/>
        <v>41.720964326437525</v>
      </c>
      <c r="K46">
        <f t="shared" si="8"/>
        <v>38.083948252370874</v>
      </c>
      <c r="M46">
        <f t="shared" si="8"/>
        <v>43.550770746525998</v>
      </c>
      <c r="N46">
        <f t="shared" si="8"/>
        <v>43.585035692978671</v>
      </c>
      <c r="O46">
        <f t="shared" si="8"/>
        <v>42.810368211169809</v>
      </c>
      <c r="Q46">
        <f t="shared" si="8"/>
        <v>66.993203356839715</v>
      </c>
      <c r="R46">
        <f t="shared" si="8"/>
        <v>66.811649619220589</v>
      </c>
      <c r="S46">
        <f t="shared" si="8"/>
        <v>66.464981285288331</v>
      </c>
      <c r="U46">
        <f t="shared" si="8"/>
        <v>79.592704592704578</v>
      </c>
      <c r="V46">
        <f t="shared" si="8"/>
        <v>80.006591918664043</v>
      </c>
      <c r="W46">
        <f t="shared" si="8"/>
        <v>80.021169306883593</v>
      </c>
    </row>
    <row r="47" spans="1:23">
      <c r="E47">
        <f t="shared" si="8"/>
        <v>46.996806379306925</v>
      </c>
      <c r="F47">
        <f t="shared" si="8"/>
        <v>47.73936438201568</v>
      </c>
      <c r="G47">
        <f t="shared" si="8"/>
        <v>47.420607127849031</v>
      </c>
      <c r="I47">
        <f t="shared" si="8"/>
        <v>72.229932916955818</v>
      </c>
      <c r="J47">
        <f t="shared" si="8"/>
        <v>71.095558929588165</v>
      </c>
      <c r="K47">
        <f t="shared" si="8"/>
        <v>71.547937356760883</v>
      </c>
      <c r="M47">
        <f t="shared" si="8"/>
        <v>26.823900934951261</v>
      </c>
      <c r="N47">
        <f t="shared" si="8"/>
        <v>27.209386221014128</v>
      </c>
      <c r="O47">
        <f t="shared" si="8"/>
        <v>27.196941783345615</v>
      </c>
      <c r="Q47">
        <f t="shared" si="8"/>
        <v>30.583291555258466</v>
      </c>
      <c r="R47">
        <f t="shared" si="8"/>
        <v>30.554044820036538</v>
      </c>
      <c r="S47">
        <f t="shared" si="8"/>
        <v>30.299582074730004</v>
      </c>
      <c r="U47">
        <f t="shared" si="8"/>
        <v>32.646690869842516</v>
      </c>
      <c r="V47">
        <f t="shared" si="8"/>
        <v>33.432284576211366</v>
      </c>
      <c r="W47">
        <f t="shared" si="8"/>
        <v>32.54731010779642</v>
      </c>
    </row>
    <row r="48" spans="1:23">
      <c r="E48">
        <f>E41*12500000</f>
        <v>345.63275647356897</v>
      </c>
      <c r="F48">
        <f t="shared" si="8"/>
        <v>355.08033925755444</v>
      </c>
      <c r="G48">
        <f t="shared" si="8"/>
        <v>323.08066700524802</v>
      </c>
      <c r="I48">
        <f t="shared" si="8"/>
        <v>120.27446237972555</v>
      </c>
      <c r="J48">
        <f t="shared" si="8"/>
        <v>128.90971750822413</v>
      </c>
      <c r="K48">
        <f t="shared" si="8"/>
        <v>125.26318594920177</v>
      </c>
      <c r="M48">
        <f t="shared" si="8"/>
        <v>257.92216398578228</v>
      </c>
      <c r="N48">
        <f t="shared" si="8"/>
        <v>254.28344324069712</v>
      </c>
      <c r="O48">
        <f t="shared" si="8"/>
        <v>242.66098484848487</v>
      </c>
      <c r="Q48">
        <f t="shared" si="8"/>
        <v>153.18094907005042</v>
      </c>
      <c r="R48">
        <f t="shared" si="8"/>
        <v>172.73596384495045</v>
      </c>
      <c r="S48">
        <f t="shared" si="8"/>
        <v>166.22397395253191</v>
      </c>
      <c r="U48">
        <f t="shared" si="8"/>
        <v>236.11289700398609</v>
      </c>
      <c r="V48">
        <f t="shared" si="8"/>
        <v>215.27285613040402</v>
      </c>
      <c r="W48">
        <f t="shared" si="8"/>
        <v>209.36734309229121</v>
      </c>
    </row>
    <row r="50" spans="2:21">
      <c r="B50" t="s">
        <v>90</v>
      </c>
    </row>
    <row r="51" spans="2:21">
      <c r="E51">
        <f>AVERAGE(E45:G45)</f>
        <v>12.888550268297484</v>
      </c>
      <c r="I51">
        <f t="shared" ref="I51:U54" si="9">AVERAGE(I45:K45)</f>
        <v>21.209922891538955</v>
      </c>
      <c r="M51">
        <f t="shared" si="9"/>
        <v>20.531545259001</v>
      </c>
      <c r="Q51">
        <f t="shared" si="9"/>
        <v>47.888962781498918</v>
      </c>
      <c r="U51">
        <f t="shared" si="9"/>
        <v>46.705519016644871</v>
      </c>
    </row>
    <row r="52" spans="2:21">
      <c r="E52">
        <f t="shared" ref="E52:E54" si="10">AVERAGE(E46:G46)</f>
        <v>60.975862488244537</v>
      </c>
      <c r="I52">
        <f t="shared" si="9"/>
        <v>40.402375037036052</v>
      </c>
      <c r="M52">
        <f t="shared" si="9"/>
        <v>43.315391550224831</v>
      </c>
      <c r="Q52">
        <f t="shared" si="9"/>
        <v>66.756611420449545</v>
      </c>
      <c r="U52">
        <f t="shared" si="9"/>
        <v>79.873488606084067</v>
      </c>
    </row>
    <row r="53" spans="2:21">
      <c r="E53">
        <f t="shared" si="10"/>
        <v>47.385592629723874</v>
      </c>
      <c r="I53">
        <f t="shared" si="9"/>
        <v>71.624476401101617</v>
      </c>
      <c r="M53">
        <f t="shared" si="9"/>
        <v>27.076742979770334</v>
      </c>
      <c r="Q53">
        <f t="shared" si="9"/>
        <v>30.478972816675007</v>
      </c>
      <c r="U53">
        <f t="shared" si="9"/>
        <v>32.875428517950098</v>
      </c>
    </row>
    <row r="54" spans="2:21">
      <c r="E54">
        <f t="shared" si="10"/>
        <v>341.2645875787905</v>
      </c>
      <c r="I54">
        <f t="shared" si="9"/>
        <v>124.81578861238381</v>
      </c>
      <c r="M54">
        <f t="shared" si="9"/>
        <v>251.62219735832142</v>
      </c>
      <c r="Q54">
        <f t="shared" si="9"/>
        <v>164.0469622891776</v>
      </c>
      <c r="U54">
        <f t="shared" si="9"/>
        <v>220.25103207556046</v>
      </c>
    </row>
  </sheetData>
  <mergeCells count="5">
    <mergeCell ref="E14:G14"/>
    <mergeCell ref="I14:K14"/>
    <mergeCell ref="M14:O14"/>
    <mergeCell ref="Q14:S14"/>
    <mergeCell ref="U14:W1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4"/>
  <sheetViews>
    <sheetView workbookViewId="0"/>
  </sheetViews>
  <sheetFormatPr defaultRowHeight="15"/>
  <cols>
    <col min="1" max="1" width="17.42578125" customWidth="1"/>
    <col min="4" max="4" width="11.5703125" customWidth="1"/>
  </cols>
  <sheetData>
    <row r="1" spans="1:23">
      <c r="A1" t="s">
        <v>409</v>
      </c>
    </row>
    <row r="2" spans="1:23">
      <c r="A2" s="4"/>
      <c r="E2" s="18" t="s">
        <v>103</v>
      </c>
      <c r="F2" s="18"/>
      <c r="G2" s="18"/>
      <c r="H2" s="18"/>
      <c r="I2" s="18"/>
      <c r="J2" s="18"/>
      <c r="K2" s="18"/>
      <c r="L2" s="18"/>
    </row>
    <row r="4" spans="1:23">
      <c r="A4" s="4" t="s">
        <v>104</v>
      </c>
    </row>
    <row r="6" spans="1:23">
      <c r="A6" t="s">
        <v>93</v>
      </c>
    </row>
    <row r="8" spans="1:23">
      <c r="A8" t="s">
        <v>105</v>
      </c>
    </row>
    <row r="9" spans="1:23">
      <c r="E9" s="19"/>
      <c r="F9" s="19"/>
      <c r="G9" s="19"/>
      <c r="I9" s="19"/>
      <c r="J9" s="19"/>
      <c r="K9" s="19"/>
      <c r="M9" s="19"/>
      <c r="N9" s="19"/>
      <c r="O9" s="19"/>
      <c r="Q9" s="19"/>
      <c r="R9" s="19"/>
      <c r="S9" s="19"/>
      <c r="U9" s="19"/>
      <c r="V9" s="19"/>
      <c r="W9" s="19"/>
    </row>
    <row r="10" spans="1:23">
      <c r="A10" s="4" t="s">
        <v>106</v>
      </c>
      <c r="B10" s="4" t="s">
        <v>75</v>
      </c>
      <c r="E10" s="19"/>
      <c r="F10" s="19"/>
      <c r="G10" s="19"/>
      <c r="I10" s="19"/>
      <c r="J10" s="19"/>
      <c r="K10" s="19"/>
      <c r="M10" s="19"/>
      <c r="N10" s="19"/>
      <c r="O10" s="19"/>
      <c r="Q10" s="19"/>
      <c r="R10" s="19"/>
      <c r="S10" s="19"/>
      <c r="U10" s="19"/>
      <c r="V10" s="19"/>
      <c r="W10" s="19"/>
    </row>
    <row r="11" spans="1:23">
      <c r="A11" t="s">
        <v>107</v>
      </c>
      <c r="B11">
        <v>0.98299999999999998</v>
      </c>
      <c r="E11" s="19"/>
      <c r="F11" s="19"/>
      <c r="G11" s="19"/>
      <c r="I11" s="19"/>
      <c r="J11" s="19"/>
      <c r="K11" s="19"/>
      <c r="M11" s="19"/>
      <c r="N11" s="19"/>
      <c r="O11" s="19"/>
      <c r="Q11" s="19"/>
      <c r="R11" s="19"/>
      <c r="S11" s="19"/>
      <c r="U11" s="19"/>
      <c r="V11" s="19"/>
      <c r="W11" s="19"/>
    </row>
    <row r="12" spans="1:23">
      <c r="A12" t="s">
        <v>108</v>
      </c>
      <c r="B12">
        <v>0.1</v>
      </c>
      <c r="E12" s="19"/>
      <c r="F12" s="19"/>
      <c r="G12" s="19"/>
      <c r="I12" s="19"/>
      <c r="J12" s="19"/>
      <c r="K12" s="19"/>
      <c r="M12" s="19"/>
      <c r="N12" s="19"/>
      <c r="O12" s="19"/>
      <c r="Q12" s="19"/>
      <c r="R12" s="19"/>
      <c r="S12" s="19"/>
      <c r="U12" s="19"/>
      <c r="V12" s="19"/>
      <c r="W12" s="19"/>
    </row>
    <row r="13" spans="1:23">
      <c r="A13" t="s">
        <v>109</v>
      </c>
      <c r="B13">
        <v>1</v>
      </c>
    </row>
    <row r="16" spans="1:23">
      <c r="B16" s="4" t="s">
        <v>79</v>
      </c>
      <c r="E16" s="74" t="s">
        <v>80</v>
      </c>
      <c r="F16" s="72"/>
      <c r="G16" s="72"/>
      <c r="I16" s="74" t="s">
        <v>81</v>
      </c>
      <c r="J16" s="74"/>
      <c r="K16" s="74"/>
      <c r="L16" s="4"/>
      <c r="M16" s="74" t="s">
        <v>82</v>
      </c>
      <c r="N16" s="74"/>
      <c r="O16" s="74"/>
      <c r="P16" s="4"/>
      <c r="Q16" s="74" t="s">
        <v>83</v>
      </c>
      <c r="R16" s="74"/>
      <c r="S16" s="74"/>
      <c r="T16" s="4"/>
      <c r="U16" s="74" t="s">
        <v>84</v>
      </c>
      <c r="V16" s="74"/>
      <c r="W16" s="74"/>
    </row>
    <row r="17" spans="1:23">
      <c r="B17" t="s">
        <v>85</v>
      </c>
      <c r="E17" s="19">
        <v>0.2913</v>
      </c>
      <c r="F17" s="19">
        <v>0.2954</v>
      </c>
      <c r="G17" s="19">
        <v>0.29049999999999998</v>
      </c>
      <c r="I17" s="19">
        <v>0.41472999999999999</v>
      </c>
      <c r="J17" s="19">
        <v>0.94179999999999997</v>
      </c>
      <c r="K17" s="19">
        <v>0.94820000000000004</v>
      </c>
      <c r="M17" s="19">
        <v>0.60340000000000005</v>
      </c>
      <c r="N17" s="19">
        <v>0.60650000000000004</v>
      </c>
      <c r="O17" s="19">
        <v>0.60440000000000005</v>
      </c>
      <c r="Q17" s="19">
        <v>0.69520000000000004</v>
      </c>
      <c r="R17" s="19">
        <v>0.69110000000000005</v>
      </c>
      <c r="S17" s="19">
        <v>0.69010000000000005</v>
      </c>
      <c r="U17" s="19">
        <v>0.69450000000000001</v>
      </c>
      <c r="V17" s="19">
        <v>0.69379999999999997</v>
      </c>
      <c r="W17" s="19">
        <v>0.69540000000000002</v>
      </c>
    </row>
    <row r="18" spans="1:23">
      <c r="B18" t="s">
        <v>6</v>
      </c>
      <c r="E18" s="19">
        <v>0.32400000000000001</v>
      </c>
      <c r="F18" s="19">
        <v>0.31900000000000001</v>
      </c>
      <c r="G18" s="19">
        <v>0.34200000000000003</v>
      </c>
      <c r="I18" s="19">
        <v>0.51715900000000004</v>
      </c>
      <c r="J18" s="19">
        <v>0.51829999999999998</v>
      </c>
      <c r="K18" s="19">
        <v>0.51219999999999999</v>
      </c>
      <c r="M18" s="19">
        <v>0.34799999999999998</v>
      </c>
      <c r="N18" s="19">
        <v>0.39300000000000002</v>
      </c>
      <c r="O18" s="19">
        <v>0.312</v>
      </c>
      <c r="Q18" s="19">
        <v>0.39410000000000001</v>
      </c>
      <c r="R18" s="19">
        <v>0.39729999999999999</v>
      </c>
      <c r="S18" s="19">
        <v>0.3952</v>
      </c>
      <c r="U18" s="19">
        <v>0.94199999999999995</v>
      </c>
      <c r="V18" s="19">
        <v>0.94840000000000002</v>
      </c>
      <c r="W18" s="19">
        <v>0.94189999999999996</v>
      </c>
    </row>
    <row r="19" spans="1:23">
      <c r="B19" s="20" t="s">
        <v>57</v>
      </c>
      <c r="E19" s="19">
        <v>0.49640000000000001</v>
      </c>
      <c r="F19" s="19">
        <v>0.49180000000000001</v>
      </c>
      <c r="G19" s="19">
        <v>0.49309999999999998</v>
      </c>
      <c r="I19" s="19">
        <v>0.39989999999999998</v>
      </c>
      <c r="J19" s="19">
        <v>0.39279999999999998</v>
      </c>
      <c r="K19" s="19">
        <v>0.39190000000000003</v>
      </c>
      <c r="M19" s="19">
        <v>0.34939999999999999</v>
      </c>
      <c r="N19" s="19">
        <v>0.34320000000000001</v>
      </c>
      <c r="O19" s="19">
        <v>0.34210000000000002</v>
      </c>
      <c r="Q19" s="19">
        <v>0.38219999999999998</v>
      </c>
      <c r="R19" s="19">
        <v>0.38119999999999998</v>
      </c>
      <c r="S19" s="19">
        <v>0.38200000000000001</v>
      </c>
      <c r="U19" s="19">
        <v>0.8135</v>
      </c>
      <c r="V19" s="19">
        <v>0.81840000000000002</v>
      </c>
      <c r="W19" s="19">
        <v>0.71230000000000004</v>
      </c>
    </row>
    <row r="20" spans="1:23">
      <c r="B20" t="s">
        <v>52</v>
      </c>
      <c r="E20" s="19">
        <v>0.185</v>
      </c>
      <c r="F20" s="19">
        <v>0.123</v>
      </c>
      <c r="G20" s="19">
        <v>0.19700000000000001</v>
      </c>
      <c r="I20" s="19">
        <v>0.24299999999999999</v>
      </c>
      <c r="J20" s="19">
        <v>0.222</v>
      </c>
      <c r="K20" s="19">
        <v>0.186</v>
      </c>
      <c r="M20" s="19">
        <v>0.35299999999999998</v>
      </c>
      <c r="N20" s="19">
        <v>0.88400000000000001</v>
      </c>
      <c r="O20" s="19">
        <v>0.125</v>
      </c>
      <c r="Q20" s="19">
        <v>0.35299999999999998</v>
      </c>
      <c r="R20" s="19">
        <v>0.22</v>
      </c>
      <c r="S20" s="19">
        <v>0.215</v>
      </c>
      <c r="U20" s="19">
        <v>0.56000000000000005</v>
      </c>
      <c r="V20" s="19">
        <v>0.22</v>
      </c>
      <c r="W20" s="19">
        <v>0.54</v>
      </c>
    </row>
    <row r="24" spans="1:23">
      <c r="A24" t="s">
        <v>110</v>
      </c>
      <c r="E24" s="19">
        <f>0.983-E17</f>
        <v>0.69169999999999998</v>
      </c>
      <c r="F24" s="19">
        <f t="shared" ref="F24:W24" si="0">0.983-F17</f>
        <v>0.68759999999999999</v>
      </c>
      <c r="G24" s="19">
        <f t="shared" si="0"/>
        <v>0.6925</v>
      </c>
      <c r="H24" s="19"/>
      <c r="I24" s="19">
        <f t="shared" si="0"/>
        <v>0.56827000000000005</v>
      </c>
      <c r="J24" s="19">
        <f t="shared" si="0"/>
        <v>4.1200000000000014E-2</v>
      </c>
      <c r="K24" s="19">
        <f t="shared" si="0"/>
        <v>3.4799999999999942E-2</v>
      </c>
      <c r="L24" s="19"/>
      <c r="M24" s="19">
        <f t="shared" si="0"/>
        <v>0.37959999999999994</v>
      </c>
      <c r="N24" s="19">
        <f t="shared" si="0"/>
        <v>0.37649999999999995</v>
      </c>
      <c r="O24" s="19">
        <f t="shared" si="0"/>
        <v>0.37859999999999994</v>
      </c>
      <c r="P24" s="19"/>
      <c r="Q24" s="19">
        <f t="shared" si="0"/>
        <v>0.28779999999999994</v>
      </c>
      <c r="R24" s="19">
        <f t="shared" si="0"/>
        <v>0.29189999999999994</v>
      </c>
      <c r="S24" s="19">
        <f t="shared" si="0"/>
        <v>0.29289999999999994</v>
      </c>
      <c r="T24" s="19"/>
      <c r="U24" s="19">
        <f t="shared" si="0"/>
        <v>0.28849999999999998</v>
      </c>
      <c r="V24" s="19">
        <f t="shared" si="0"/>
        <v>0.28920000000000001</v>
      </c>
      <c r="W24" s="19">
        <f t="shared" si="0"/>
        <v>0.28759999999999997</v>
      </c>
    </row>
    <row r="25" spans="1:23">
      <c r="E25" s="19">
        <f>0.983-E18</f>
        <v>0.65900000000000003</v>
      </c>
      <c r="F25" s="19">
        <f>0.983-F18</f>
        <v>0.66399999999999992</v>
      </c>
      <c r="G25" s="19">
        <f>0.983-G18</f>
        <v>0.64100000000000001</v>
      </c>
      <c r="H25" s="19"/>
      <c r="I25" s="19">
        <f t="shared" ref="E25:W27" si="1">0.983-I18</f>
        <v>0.46584099999999995</v>
      </c>
      <c r="J25" s="19">
        <f t="shared" si="1"/>
        <v>0.4647</v>
      </c>
      <c r="K25" s="19">
        <f t="shared" si="1"/>
        <v>0.4708</v>
      </c>
      <c r="L25" s="19"/>
      <c r="M25" s="19">
        <f t="shared" si="1"/>
        <v>0.63500000000000001</v>
      </c>
      <c r="N25" s="19">
        <f t="shared" si="1"/>
        <v>0.59</v>
      </c>
      <c r="O25" s="19">
        <f t="shared" si="1"/>
        <v>0.67100000000000004</v>
      </c>
      <c r="P25" s="19"/>
      <c r="Q25" s="19">
        <f t="shared" si="1"/>
        <v>0.58889999999999998</v>
      </c>
      <c r="R25" s="19">
        <f t="shared" si="1"/>
        <v>0.5857</v>
      </c>
      <c r="S25" s="19">
        <f t="shared" si="1"/>
        <v>0.58779999999999999</v>
      </c>
      <c r="T25" s="19"/>
      <c r="U25" s="19">
        <f t="shared" si="1"/>
        <v>4.1000000000000036E-2</v>
      </c>
      <c r="V25" s="19">
        <f t="shared" si="1"/>
        <v>3.4599999999999964E-2</v>
      </c>
      <c r="W25" s="19">
        <f t="shared" si="1"/>
        <v>4.1100000000000025E-2</v>
      </c>
    </row>
    <row r="26" spans="1:23">
      <c r="E26" s="19">
        <f t="shared" si="1"/>
        <v>0.48659999999999998</v>
      </c>
      <c r="F26" s="19">
        <f t="shared" si="1"/>
        <v>0.49119999999999997</v>
      </c>
      <c r="G26" s="19">
        <f t="shared" si="1"/>
        <v>0.4899</v>
      </c>
      <c r="H26" s="19"/>
      <c r="I26" s="19">
        <f t="shared" si="1"/>
        <v>0.58309999999999995</v>
      </c>
      <c r="J26" s="19">
        <f t="shared" si="1"/>
        <v>0.59020000000000006</v>
      </c>
      <c r="K26" s="19">
        <f t="shared" si="1"/>
        <v>0.59109999999999996</v>
      </c>
      <c r="L26" s="19"/>
      <c r="M26" s="19">
        <f t="shared" si="1"/>
        <v>0.63359999999999994</v>
      </c>
      <c r="N26" s="19">
        <f t="shared" si="1"/>
        <v>0.63979999999999992</v>
      </c>
      <c r="O26" s="19">
        <f t="shared" si="1"/>
        <v>0.64090000000000003</v>
      </c>
      <c r="P26" s="19"/>
      <c r="Q26" s="19">
        <f t="shared" si="1"/>
        <v>0.6008</v>
      </c>
      <c r="R26" s="19">
        <f t="shared" si="1"/>
        <v>0.6018</v>
      </c>
      <c r="S26" s="19">
        <f t="shared" si="1"/>
        <v>0.60099999999999998</v>
      </c>
      <c r="T26" s="19"/>
      <c r="U26" s="19">
        <f t="shared" si="1"/>
        <v>0.16949999999999998</v>
      </c>
      <c r="V26" s="19">
        <f t="shared" si="1"/>
        <v>0.16459999999999997</v>
      </c>
      <c r="W26" s="19">
        <f t="shared" si="1"/>
        <v>0.27069999999999994</v>
      </c>
    </row>
    <row r="27" spans="1:23">
      <c r="E27" s="19">
        <f>0.983-E20</f>
        <v>0.79800000000000004</v>
      </c>
      <c r="F27" s="19">
        <f>0.983-F20</f>
        <v>0.86</v>
      </c>
      <c r="G27" s="19">
        <f>0.983-G20</f>
        <v>0.78600000000000003</v>
      </c>
      <c r="H27" s="19"/>
      <c r="I27" s="19">
        <f t="shared" si="1"/>
        <v>0.74</v>
      </c>
      <c r="J27" s="19">
        <f t="shared" si="1"/>
        <v>0.76100000000000001</v>
      </c>
      <c r="K27" s="19">
        <f t="shared" si="1"/>
        <v>0.79699999999999993</v>
      </c>
      <c r="L27" s="19"/>
      <c r="M27" s="19">
        <f t="shared" si="1"/>
        <v>0.63</v>
      </c>
      <c r="N27" s="19">
        <f t="shared" si="1"/>
        <v>9.8999999999999977E-2</v>
      </c>
      <c r="O27" s="19">
        <f t="shared" si="1"/>
        <v>0.85799999999999998</v>
      </c>
      <c r="P27" s="19"/>
      <c r="Q27" s="19">
        <f t="shared" si="1"/>
        <v>0.63</v>
      </c>
      <c r="R27" s="19">
        <f t="shared" si="1"/>
        <v>0.76300000000000001</v>
      </c>
      <c r="S27" s="19">
        <f t="shared" si="1"/>
        <v>0.76800000000000002</v>
      </c>
      <c r="T27" s="19"/>
      <c r="U27" s="19">
        <f t="shared" si="1"/>
        <v>0.42299999999999993</v>
      </c>
      <c r="V27" s="19">
        <f t="shared" si="1"/>
        <v>0.76300000000000001</v>
      </c>
      <c r="W27" s="19">
        <f t="shared" si="1"/>
        <v>0.44299999999999995</v>
      </c>
    </row>
    <row r="31" spans="1:23">
      <c r="A31" s="72" t="s">
        <v>111</v>
      </c>
      <c r="B31" s="72"/>
      <c r="C31" s="72"/>
      <c r="D31" s="72"/>
      <c r="E31">
        <f>271*0.16666</f>
        <v>45.164859999999997</v>
      </c>
    </row>
    <row r="34" spans="3:23">
      <c r="E34">
        <f>E24*45.16486</f>
        <v>31.240533661999997</v>
      </c>
      <c r="F34">
        <f t="shared" ref="F34:W34" si="2">F24*45.16486</f>
        <v>31.055357735999998</v>
      </c>
      <c r="G34">
        <f t="shared" si="2"/>
        <v>31.276665549999997</v>
      </c>
      <c r="I34">
        <f t="shared" si="2"/>
        <v>25.665834992200001</v>
      </c>
      <c r="J34">
        <f t="shared" si="2"/>
        <v>1.8607922320000005</v>
      </c>
      <c r="K34">
        <f t="shared" si="2"/>
        <v>1.5717371279999972</v>
      </c>
      <c r="M34">
        <f t="shared" si="2"/>
        <v>17.144580855999997</v>
      </c>
      <c r="N34">
        <f t="shared" si="2"/>
        <v>17.004569789999998</v>
      </c>
      <c r="O34">
        <f t="shared" si="2"/>
        <v>17.099415995999998</v>
      </c>
      <c r="Q34">
        <f t="shared" si="2"/>
        <v>12.998446707999996</v>
      </c>
      <c r="R34">
        <f t="shared" si="2"/>
        <v>13.183622633999997</v>
      </c>
      <c r="S34">
        <f t="shared" si="2"/>
        <v>13.228787493999997</v>
      </c>
      <c r="U34">
        <f t="shared" si="2"/>
        <v>13.030062109999998</v>
      </c>
      <c r="V34">
        <f t="shared" si="2"/>
        <v>13.061677511999999</v>
      </c>
      <c r="W34">
        <f t="shared" si="2"/>
        <v>12.989413735999998</v>
      </c>
    </row>
    <row r="35" spans="3:23">
      <c r="E35">
        <f t="shared" ref="E35:W37" si="3">E25*45.16486</f>
        <v>29.763642739999998</v>
      </c>
      <c r="F35">
        <f t="shared" si="3"/>
        <v>29.989467039999994</v>
      </c>
      <c r="G35">
        <f t="shared" si="3"/>
        <v>28.950675260000001</v>
      </c>
      <c r="I35">
        <f t="shared" si="3"/>
        <v>21.039643547259995</v>
      </c>
      <c r="J35">
        <f t="shared" si="3"/>
        <v>20.988110442</v>
      </c>
      <c r="K35">
        <f t="shared" si="3"/>
        <v>21.263616087999999</v>
      </c>
      <c r="M35">
        <f t="shared" si="3"/>
        <v>28.679686099999998</v>
      </c>
      <c r="N35">
        <f t="shared" si="3"/>
        <v>26.647267399999997</v>
      </c>
      <c r="O35">
        <f t="shared" si="3"/>
        <v>30.30562106</v>
      </c>
      <c r="Q35">
        <f t="shared" si="3"/>
        <v>26.597586053999997</v>
      </c>
      <c r="R35">
        <f t="shared" si="3"/>
        <v>26.453058501999998</v>
      </c>
      <c r="S35">
        <f t="shared" si="3"/>
        <v>26.547904707999997</v>
      </c>
      <c r="U35">
        <f t="shared" si="3"/>
        <v>1.8517592600000015</v>
      </c>
      <c r="V35">
        <f t="shared" si="3"/>
        <v>1.5627041559999983</v>
      </c>
      <c r="W35">
        <f t="shared" si="3"/>
        <v>1.856275746000001</v>
      </c>
    </row>
    <row r="36" spans="3:23">
      <c r="E36">
        <f t="shared" si="3"/>
        <v>21.977220875999997</v>
      </c>
      <c r="F36">
        <f t="shared" si="3"/>
        <v>22.184979231999996</v>
      </c>
      <c r="G36">
        <f t="shared" si="3"/>
        <v>22.126264914</v>
      </c>
      <c r="I36">
        <f t="shared" si="3"/>
        <v>26.335629865999998</v>
      </c>
      <c r="J36">
        <f t="shared" si="3"/>
        <v>26.656300372</v>
      </c>
      <c r="K36">
        <f t="shared" si="3"/>
        <v>26.696948745999997</v>
      </c>
      <c r="M36">
        <f t="shared" si="3"/>
        <v>28.616455295999994</v>
      </c>
      <c r="N36">
        <f t="shared" si="3"/>
        <v>28.896477427999994</v>
      </c>
      <c r="O36">
        <f t="shared" si="3"/>
        <v>28.946158774000001</v>
      </c>
      <c r="Q36">
        <f t="shared" si="3"/>
        <v>27.135047887999999</v>
      </c>
      <c r="R36">
        <f t="shared" si="3"/>
        <v>27.180212747999999</v>
      </c>
      <c r="S36">
        <f t="shared" si="3"/>
        <v>27.144080859999999</v>
      </c>
      <c r="U36">
        <f t="shared" si="3"/>
        <v>7.6554437699999989</v>
      </c>
      <c r="V36">
        <f t="shared" si="3"/>
        <v>7.4341359559999978</v>
      </c>
      <c r="W36">
        <f t="shared" si="3"/>
        <v>12.226127601999996</v>
      </c>
    </row>
    <row r="37" spans="3:23">
      <c r="E37">
        <f t="shared" si="3"/>
        <v>36.041558279999997</v>
      </c>
      <c r="F37">
        <f t="shared" si="3"/>
        <v>38.841779599999995</v>
      </c>
      <c r="G37">
        <f t="shared" si="3"/>
        <v>35.499579959999998</v>
      </c>
      <c r="I37">
        <f t="shared" si="3"/>
        <v>33.421996399999998</v>
      </c>
      <c r="J37">
        <f t="shared" si="3"/>
        <v>34.370458460000002</v>
      </c>
      <c r="K37">
        <f t="shared" si="3"/>
        <v>35.996393419999997</v>
      </c>
      <c r="M37">
        <f t="shared" si="3"/>
        <v>28.453861799999999</v>
      </c>
      <c r="N37">
        <f t="shared" si="3"/>
        <v>4.4713211399999988</v>
      </c>
      <c r="O37">
        <f t="shared" si="3"/>
        <v>38.751449879999996</v>
      </c>
      <c r="Q37">
        <f t="shared" si="3"/>
        <v>28.453861799999999</v>
      </c>
      <c r="R37">
        <f t="shared" si="3"/>
        <v>34.460788180000002</v>
      </c>
      <c r="S37">
        <f t="shared" si="3"/>
        <v>34.686612480000001</v>
      </c>
      <c r="U37">
        <f t="shared" si="3"/>
        <v>19.104735779999995</v>
      </c>
      <c r="V37">
        <f t="shared" si="3"/>
        <v>34.460788180000002</v>
      </c>
      <c r="W37">
        <f t="shared" si="3"/>
        <v>20.008032979999996</v>
      </c>
    </row>
    <row r="40" spans="3:23">
      <c r="C40" t="s">
        <v>112</v>
      </c>
      <c r="E40">
        <f>AVERAGE(E34:G34)</f>
        <v>31.190852316000001</v>
      </c>
      <c r="I40">
        <f t="shared" ref="I40:U43" si="4">AVERAGE(I34:K34)</f>
        <v>9.6994547840666669</v>
      </c>
      <c r="M40">
        <f t="shared" si="4"/>
        <v>17.082855547333331</v>
      </c>
      <c r="Q40">
        <f t="shared" si="4"/>
        <v>13.136952278666662</v>
      </c>
      <c r="U40">
        <f t="shared" si="4"/>
        <v>13.027051119333331</v>
      </c>
    </row>
    <row r="41" spans="3:23">
      <c r="E41">
        <f t="shared" ref="E41:E43" si="5">AVERAGE(E35:G35)</f>
        <v>29.567928346666662</v>
      </c>
      <c r="I41">
        <f t="shared" si="4"/>
        <v>21.097123359086662</v>
      </c>
      <c r="M41">
        <f t="shared" si="4"/>
        <v>28.544191519999998</v>
      </c>
      <c r="Q41">
        <f t="shared" si="4"/>
        <v>26.53284975466666</v>
      </c>
      <c r="U41">
        <f t="shared" si="4"/>
        <v>1.7569130540000002</v>
      </c>
    </row>
    <row r="42" spans="3:23">
      <c r="E42">
        <f t="shared" si="5"/>
        <v>22.096155007333333</v>
      </c>
      <c r="I42">
        <f t="shared" si="4"/>
        <v>26.562959661333327</v>
      </c>
      <c r="M42">
        <f t="shared" si="4"/>
        <v>28.819697165999997</v>
      </c>
      <c r="Q42">
        <f t="shared" si="4"/>
        <v>27.153113831999999</v>
      </c>
      <c r="U42">
        <f t="shared" si="4"/>
        <v>9.1052357759999989</v>
      </c>
    </row>
    <row r="43" spans="3:23">
      <c r="E43">
        <f t="shared" si="5"/>
        <v>36.794305946666668</v>
      </c>
      <c r="I43">
        <f t="shared" si="4"/>
        <v>34.596282760000001</v>
      </c>
      <c r="M43">
        <f t="shared" si="4"/>
        <v>23.892210939999998</v>
      </c>
      <c r="Q43">
        <f t="shared" si="4"/>
        <v>32.533754153333334</v>
      </c>
      <c r="U43">
        <f t="shared" si="4"/>
        <v>24.524518979999996</v>
      </c>
    </row>
    <row r="44" spans="3:23">
      <c r="E44" s="19"/>
      <c r="F44" s="19"/>
      <c r="G44" s="19"/>
      <c r="I44" s="19"/>
      <c r="J44" s="19"/>
      <c r="K44" s="19"/>
      <c r="M44" s="19"/>
      <c r="N44" s="19"/>
      <c r="O44" s="19"/>
      <c r="Q44" s="19"/>
      <c r="R44" s="19"/>
      <c r="S44" s="19"/>
      <c r="U44" s="19"/>
      <c r="V44" s="19"/>
      <c r="W44" s="19"/>
    </row>
  </sheetData>
  <mergeCells count="6">
    <mergeCell ref="U16:W16"/>
    <mergeCell ref="A31:D31"/>
    <mergeCell ref="E16:G16"/>
    <mergeCell ref="I16:K16"/>
    <mergeCell ref="M16:O16"/>
    <mergeCell ref="Q16:S1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2"/>
  <sheetViews>
    <sheetView topLeftCell="D1" workbookViewId="0">
      <selection activeCell="D1" sqref="D1"/>
    </sheetView>
  </sheetViews>
  <sheetFormatPr defaultRowHeight="15"/>
  <cols>
    <col min="1" max="1" width="17.85546875" customWidth="1"/>
    <col min="2" max="2" width="14.28515625" customWidth="1"/>
    <col min="4" max="4" width="15.42578125" customWidth="1"/>
  </cols>
  <sheetData>
    <row r="1" spans="1:23">
      <c r="D1" t="s">
        <v>410</v>
      </c>
    </row>
    <row r="2" spans="1:23">
      <c r="A2" s="4"/>
      <c r="F2" s="74" t="s">
        <v>113</v>
      </c>
      <c r="G2" s="74"/>
      <c r="H2" s="74"/>
      <c r="I2" s="74"/>
      <c r="J2" s="74"/>
      <c r="K2" s="74"/>
      <c r="L2" s="74"/>
    </row>
    <row r="4" spans="1:23">
      <c r="A4" s="4" t="s">
        <v>114</v>
      </c>
    </row>
    <row r="6" spans="1:23">
      <c r="A6" t="s">
        <v>93</v>
      </c>
    </row>
    <row r="8" spans="1:23">
      <c r="A8" t="s">
        <v>115</v>
      </c>
    </row>
    <row r="10" spans="1:23">
      <c r="A10" s="4" t="s">
        <v>106</v>
      </c>
      <c r="B10" s="4" t="s">
        <v>75</v>
      </c>
    </row>
    <row r="11" spans="1:23">
      <c r="A11" t="s">
        <v>95</v>
      </c>
      <c r="B11">
        <v>2.1000000000000001E-2</v>
      </c>
    </row>
    <row r="12" spans="1:23">
      <c r="A12" t="s">
        <v>108</v>
      </c>
      <c r="B12">
        <v>0.2</v>
      </c>
    </row>
    <row r="15" spans="1:23">
      <c r="B15" s="4" t="s">
        <v>79</v>
      </c>
      <c r="E15" s="74" t="s">
        <v>80</v>
      </c>
      <c r="F15" s="72"/>
      <c r="G15" s="72"/>
      <c r="I15" s="74" t="s">
        <v>81</v>
      </c>
      <c r="J15" s="74"/>
      <c r="K15" s="74"/>
      <c r="L15" s="4"/>
      <c r="M15" s="74" t="s">
        <v>82</v>
      </c>
      <c r="N15" s="74"/>
      <c r="O15" s="74"/>
      <c r="P15" s="4"/>
      <c r="Q15" s="74" t="s">
        <v>83</v>
      </c>
      <c r="R15" s="74"/>
      <c r="S15" s="74"/>
      <c r="T15" s="4"/>
      <c r="U15" s="74" t="s">
        <v>84</v>
      </c>
      <c r="V15" s="74"/>
      <c r="W15" s="74"/>
    </row>
    <row r="16" spans="1:23">
      <c r="B16" t="s">
        <v>85</v>
      </c>
      <c r="E16" s="22">
        <v>3.18716814159292E-2</v>
      </c>
      <c r="F16" s="22">
        <v>3.18716814159292E-2</v>
      </c>
      <c r="G16" s="22">
        <v>5.1871681415929197E-2</v>
      </c>
      <c r="I16">
        <v>2.8639999999999999E-2</v>
      </c>
      <c r="J16">
        <v>2.8379999999999999E-2</v>
      </c>
      <c r="K16">
        <v>2.819E-2</v>
      </c>
      <c r="M16">
        <v>5.1319999999999998E-2</v>
      </c>
      <c r="N16">
        <v>5.6959000000000003E-2</v>
      </c>
      <c r="O16">
        <v>5.9650000000000002E-2</v>
      </c>
      <c r="Q16">
        <v>4.53E-2</v>
      </c>
      <c r="R16">
        <v>4.87E-2</v>
      </c>
      <c r="S16">
        <v>4.3400000000000001E-2</v>
      </c>
      <c r="U16">
        <v>5.28E-2</v>
      </c>
      <c r="V16">
        <v>5.9400000000000001E-2</v>
      </c>
      <c r="W16">
        <v>5.5399999999999998E-2</v>
      </c>
    </row>
    <row r="17" spans="2:23">
      <c r="B17" t="s">
        <v>6</v>
      </c>
      <c r="E17" s="22">
        <v>0.32429336283185844</v>
      </c>
      <c r="F17" s="22">
        <v>0.32179999999999997</v>
      </c>
      <c r="G17" s="22">
        <v>0.32750000000000001</v>
      </c>
      <c r="I17">
        <v>0.31834000000000001</v>
      </c>
      <c r="J17">
        <v>0.31940000000000002</v>
      </c>
      <c r="K17">
        <v>0.31290000000000001</v>
      </c>
      <c r="M17">
        <v>0.43109999999999998</v>
      </c>
      <c r="N17">
        <v>0.43290000000000001</v>
      </c>
      <c r="O17">
        <v>0.43730000000000002</v>
      </c>
      <c r="Q17">
        <v>0.42830000000000001</v>
      </c>
      <c r="R17">
        <v>0.42109999999999997</v>
      </c>
      <c r="S17">
        <v>0.42630000000000001</v>
      </c>
      <c r="U17">
        <v>0.32850000000000001</v>
      </c>
      <c r="V17">
        <v>0.3236</v>
      </c>
      <c r="W17">
        <v>0.32529999999999998</v>
      </c>
    </row>
    <row r="18" spans="2:23">
      <c r="B18" s="20" t="s">
        <v>57</v>
      </c>
      <c r="E18" s="22">
        <v>0.24703672566371682</v>
      </c>
      <c r="F18" s="22">
        <v>0.24253672566371701</v>
      </c>
      <c r="G18" s="22">
        <v>0.24853672566371701</v>
      </c>
      <c r="I18">
        <v>0.39639999999999997</v>
      </c>
      <c r="J18">
        <v>0.39119999999999999</v>
      </c>
      <c r="K18">
        <v>0.39629999999999999</v>
      </c>
      <c r="M18">
        <v>0.48530000000000001</v>
      </c>
      <c r="N18">
        <v>0.48909999999999998</v>
      </c>
      <c r="O18">
        <v>0.48209999999999997</v>
      </c>
      <c r="Q18">
        <v>0.4864</v>
      </c>
      <c r="R18">
        <v>0.4884</v>
      </c>
      <c r="S18">
        <v>0.4829</v>
      </c>
      <c r="U18">
        <v>0.2853</v>
      </c>
      <c r="V18">
        <v>0.28120000000000001</v>
      </c>
      <c r="W18">
        <v>0.28320000000000001</v>
      </c>
    </row>
    <row r="19" spans="2:23">
      <c r="B19" t="s">
        <v>52</v>
      </c>
      <c r="E19" s="22">
        <v>0.98599999999999999</v>
      </c>
      <c r="F19" s="22">
        <v>0.92700000000000005</v>
      </c>
      <c r="G19" s="22">
        <v>0.96599999999999997</v>
      </c>
      <c r="I19" s="19">
        <v>0.77400000000000002</v>
      </c>
      <c r="J19" s="19">
        <v>0.71199999999999997</v>
      </c>
      <c r="K19" s="19">
        <v>0.73399999999999999</v>
      </c>
      <c r="M19" s="19">
        <v>0.76739999999999997</v>
      </c>
      <c r="N19" s="19">
        <v>0.71199999999999997</v>
      </c>
      <c r="O19" s="19">
        <v>0.78800000000000003</v>
      </c>
      <c r="Q19" s="19">
        <v>1.329</v>
      </c>
      <c r="R19" s="19">
        <v>1.355</v>
      </c>
      <c r="S19" s="19">
        <v>1.391</v>
      </c>
      <c r="U19" s="19">
        <v>0.88600000000000001</v>
      </c>
      <c r="V19" s="19">
        <v>0.83</v>
      </c>
      <c r="W19" s="19">
        <v>0.8</v>
      </c>
    </row>
    <row r="23" spans="2:23">
      <c r="B23" t="s">
        <v>116</v>
      </c>
      <c r="E23" s="22">
        <f>E16-0.021</f>
        <v>1.0871681415929198E-2</v>
      </c>
      <c r="F23" s="22">
        <f t="shared" ref="F23:W26" si="0">F16-0.021</f>
        <v>1.0871681415929198E-2</v>
      </c>
      <c r="G23" s="22">
        <f t="shared" si="0"/>
        <v>3.0871681415929195E-2</v>
      </c>
      <c r="H23" s="22"/>
      <c r="I23" s="22">
        <f t="shared" si="0"/>
        <v>7.6399999999999975E-3</v>
      </c>
      <c r="J23" s="22">
        <f t="shared" si="0"/>
        <v>7.3799999999999977E-3</v>
      </c>
      <c r="K23" s="22">
        <f t="shared" si="0"/>
        <v>7.1899999999999985E-3</v>
      </c>
      <c r="L23" s="22"/>
      <c r="M23" s="22">
        <f t="shared" si="0"/>
        <v>3.0319999999999996E-2</v>
      </c>
      <c r="N23" s="22">
        <f t="shared" si="0"/>
        <v>3.5959000000000005E-2</v>
      </c>
      <c r="O23" s="22">
        <f t="shared" si="0"/>
        <v>3.8650000000000004E-2</v>
      </c>
      <c r="P23" s="22"/>
      <c r="Q23" s="22">
        <f t="shared" si="0"/>
        <v>2.4299999999999999E-2</v>
      </c>
      <c r="R23" s="22">
        <f t="shared" si="0"/>
        <v>2.7699999999999999E-2</v>
      </c>
      <c r="S23" s="22">
        <f t="shared" si="0"/>
        <v>2.24E-2</v>
      </c>
      <c r="T23" s="22"/>
      <c r="U23" s="22">
        <f t="shared" si="0"/>
        <v>3.1799999999999995E-2</v>
      </c>
      <c r="V23" s="22">
        <f t="shared" si="0"/>
        <v>3.8400000000000004E-2</v>
      </c>
      <c r="W23" s="22">
        <f t="shared" si="0"/>
        <v>3.44E-2</v>
      </c>
    </row>
    <row r="24" spans="2:23">
      <c r="E24" s="22">
        <f>E17-0.021</f>
        <v>0.30329336283185843</v>
      </c>
      <c r="F24" s="22">
        <f t="shared" si="0"/>
        <v>0.30079999999999996</v>
      </c>
      <c r="G24" s="22">
        <f t="shared" si="0"/>
        <v>0.30649999999999999</v>
      </c>
      <c r="H24" s="22"/>
      <c r="I24" s="22">
        <f t="shared" si="0"/>
        <v>0.29733999999999999</v>
      </c>
      <c r="J24" s="22">
        <f t="shared" si="0"/>
        <v>0.2984</v>
      </c>
      <c r="K24" s="22">
        <f t="shared" si="0"/>
        <v>0.29189999999999999</v>
      </c>
      <c r="L24" s="22"/>
      <c r="M24" s="22">
        <f t="shared" si="0"/>
        <v>0.41009999999999996</v>
      </c>
      <c r="N24" s="22">
        <f t="shared" si="0"/>
        <v>0.41189999999999999</v>
      </c>
      <c r="O24" s="22">
        <f t="shared" si="0"/>
        <v>0.4163</v>
      </c>
      <c r="P24" s="22"/>
      <c r="Q24" s="22">
        <f t="shared" si="0"/>
        <v>0.4073</v>
      </c>
      <c r="R24" s="22">
        <f t="shared" si="0"/>
        <v>0.40009999999999996</v>
      </c>
      <c r="S24" s="22">
        <f t="shared" si="0"/>
        <v>0.40529999999999999</v>
      </c>
      <c r="T24" s="22"/>
      <c r="U24" s="22">
        <f t="shared" si="0"/>
        <v>0.3075</v>
      </c>
      <c r="V24" s="22">
        <f t="shared" si="0"/>
        <v>0.30259999999999998</v>
      </c>
      <c r="W24" s="22">
        <f t="shared" si="0"/>
        <v>0.30429999999999996</v>
      </c>
    </row>
    <row r="25" spans="2:23">
      <c r="E25" s="22">
        <f>E18-0.021</f>
        <v>0.22603672566371683</v>
      </c>
      <c r="F25" s="22">
        <f t="shared" si="0"/>
        <v>0.22153672566371702</v>
      </c>
      <c r="G25" s="22">
        <f t="shared" si="0"/>
        <v>0.22753672566371702</v>
      </c>
      <c r="H25" s="22"/>
      <c r="I25" s="22">
        <f t="shared" si="0"/>
        <v>0.37539999999999996</v>
      </c>
      <c r="J25" s="22">
        <f t="shared" si="0"/>
        <v>0.37019999999999997</v>
      </c>
      <c r="K25" s="22">
        <f t="shared" si="0"/>
        <v>0.37529999999999997</v>
      </c>
      <c r="L25" s="22"/>
      <c r="M25" s="22">
        <f t="shared" si="0"/>
        <v>0.46429999999999999</v>
      </c>
      <c r="N25" s="22">
        <f t="shared" si="0"/>
        <v>0.46809999999999996</v>
      </c>
      <c r="O25" s="22">
        <f t="shared" si="0"/>
        <v>0.46109999999999995</v>
      </c>
      <c r="P25" s="22"/>
      <c r="Q25" s="22">
        <f t="shared" si="0"/>
        <v>0.46539999999999998</v>
      </c>
      <c r="R25" s="22">
        <f t="shared" si="0"/>
        <v>0.46739999999999998</v>
      </c>
      <c r="S25" s="22">
        <f t="shared" si="0"/>
        <v>0.46189999999999998</v>
      </c>
      <c r="T25" s="22"/>
      <c r="U25" s="22">
        <f t="shared" si="0"/>
        <v>0.26429999999999998</v>
      </c>
      <c r="V25" s="22">
        <f t="shared" si="0"/>
        <v>0.26019999999999999</v>
      </c>
      <c r="W25" s="22">
        <f t="shared" si="0"/>
        <v>0.26219999999999999</v>
      </c>
    </row>
    <row r="26" spans="2:23">
      <c r="E26" s="22">
        <f>E19-0.021</f>
        <v>0.96499999999999997</v>
      </c>
      <c r="F26" s="22">
        <f t="shared" si="0"/>
        <v>0.90600000000000003</v>
      </c>
      <c r="G26" s="22">
        <f t="shared" si="0"/>
        <v>0.94499999999999995</v>
      </c>
      <c r="H26" s="22"/>
      <c r="I26" s="22">
        <f t="shared" si="0"/>
        <v>0.753</v>
      </c>
      <c r="J26" s="22">
        <f t="shared" si="0"/>
        <v>0.69099999999999995</v>
      </c>
      <c r="K26" s="22">
        <f t="shared" si="0"/>
        <v>0.71299999999999997</v>
      </c>
      <c r="L26" s="22"/>
      <c r="M26" s="22">
        <f t="shared" si="0"/>
        <v>0.74639999999999995</v>
      </c>
      <c r="N26" s="22">
        <f t="shared" si="0"/>
        <v>0.69099999999999995</v>
      </c>
      <c r="O26" s="22">
        <f t="shared" si="0"/>
        <v>0.76700000000000002</v>
      </c>
      <c r="P26" s="22"/>
      <c r="Q26" s="22">
        <f t="shared" si="0"/>
        <v>1.3080000000000001</v>
      </c>
      <c r="R26" s="22">
        <f t="shared" si="0"/>
        <v>1.3340000000000001</v>
      </c>
      <c r="S26" s="22">
        <f t="shared" si="0"/>
        <v>1.37</v>
      </c>
      <c r="T26" s="22"/>
      <c r="U26" s="22">
        <f t="shared" si="0"/>
        <v>0.86499999999999999</v>
      </c>
      <c r="V26" s="22">
        <f t="shared" si="0"/>
        <v>0.80899999999999994</v>
      </c>
      <c r="W26" s="22">
        <f t="shared" si="0"/>
        <v>0.77900000000000003</v>
      </c>
    </row>
    <row r="27" spans="2:23">
      <c r="E27" s="22"/>
    </row>
    <row r="29" spans="2:23">
      <c r="B29" t="s">
        <v>117</v>
      </c>
      <c r="E29">
        <f>11.3*0.2</f>
        <v>2.2600000000000002</v>
      </c>
    </row>
    <row r="32" spans="2:23">
      <c r="B32" t="s">
        <v>118</v>
      </c>
      <c r="E32">
        <f>E23/2.26</f>
        <v>4.81047850262354E-3</v>
      </c>
      <c r="F32">
        <f t="shared" ref="F32:W32" si="1">F23/2.26</f>
        <v>4.81047850262354E-3</v>
      </c>
      <c r="G32">
        <f t="shared" si="1"/>
        <v>1.3660036024747434E-2</v>
      </c>
      <c r="I32">
        <f t="shared" si="1"/>
        <v>3.3805309734513266E-3</v>
      </c>
      <c r="J32">
        <f t="shared" si="1"/>
        <v>3.2654867256637159E-3</v>
      </c>
      <c r="K32">
        <f t="shared" si="1"/>
        <v>3.1814159292035396E-3</v>
      </c>
      <c r="M32">
        <f t="shared" si="1"/>
        <v>1.3415929203539822E-2</v>
      </c>
      <c r="N32">
        <f t="shared" si="1"/>
        <v>1.5911061946902658E-2</v>
      </c>
      <c r="O32">
        <f t="shared" si="1"/>
        <v>1.7101769911504427E-2</v>
      </c>
      <c r="Q32">
        <f t="shared" si="1"/>
        <v>1.0752212389380532E-2</v>
      </c>
      <c r="R32">
        <f t="shared" si="1"/>
        <v>1.2256637168141593E-2</v>
      </c>
      <c r="S32">
        <f t="shared" si="1"/>
        <v>9.9115044247787623E-3</v>
      </c>
      <c r="U32">
        <f t="shared" si="1"/>
        <v>1.407079646017699E-2</v>
      </c>
      <c r="V32">
        <f t="shared" si="1"/>
        <v>1.6991150442477881E-2</v>
      </c>
      <c r="W32">
        <f t="shared" si="1"/>
        <v>1.5221238938053099E-2</v>
      </c>
    </row>
    <row r="33" spans="3:23">
      <c r="E33">
        <f t="shared" ref="E33:W35" si="2">E24/2.26</f>
        <v>0.13420060302294623</v>
      </c>
      <c r="F33">
        <f t="shared" si="2"/>
        <v>0.13309734513274335</v>
      </c>
      <c r="G33">
        <f t="shared" si="2"/>
        <v>0.13561946902654867</v>
      </c>
      <c r="I33">
        <f t="shared" si="2"/>
        <v>0.13156637168141594</v>
      </c>
      <c r="J33">
        <f t="shared" si="2"/>
        <v>0.1320353982300885</v>
      </c>
      <c r="K33">
        <f t="shared" si="2"/>
        <v>0.12915929203539825</v>
      </c>
      <c r="M33">
        <f t="shared" si="2"/>
        <v>0.18146017699115044</v>
      </c>
      <c r="N33">
        <f t="shared" si="2"/>
        <v>0.18225663716814161</v>
      </c>
      <c r="O33">
        <f t="shared" si="2"/>
        <v>0.18420353982300885</v>
      </c>
      <c r="Q33">
        <f t="shared" si="2"/>
        <v>0.18022123893805311</v>
      </c>
      <c r="R33">
        <f t="shared" si="2"/>
        <v>0.17703539823008849</v>
      </c>
      <c r="S33">
        <f t="shared" si="2"/>
        <v>0.17933628318584072</v>
      </c>
      <c r="U33">
        <f t="shared" si="2"/>
        <v>0.13606194690265488</v>
      </c>
      <c r="V33">
        <f t="shared" si="2"/>
        <v>0.13389380530973452</v>
      </c>
      <c r="W33">
        <f t="shared" si="2"/>
        <v>0.13464601769911505</v>
      </c>
    </row>
    <row r="34" spans="3:23">
      <c r="E34">
        <f t="shared" si="2"/>
        <v>0.10001625029368003</v>
      </c>
      <c r="F34">
        <f t="shared" si="2"/>
        <v>9.8025099851202224E-2</v>
      </c>
      <c r="G34">
        <f t="shared" si="2"/>
        <v>0.1006799671078394</v>
      </c>
      <c r="I34">
        <f t="shared" si="2"/>
        <v>0.1661061946902655</v>
      </c>
      <c r="J34">
        <f t="shared" si="2"/>
        <v>0.16380530973451327</v>
      </c>
      <c r="K34">
        <f t="shared" si="2"/>
        <v>0.16606194690265486</v>
      </c>
      <c r="M34">
        <f t="shared" si="2"/>
        <v>0.2054424778761062</v>
      </c>
      <c r="N34">
        <f t="shared" si="2"/>
        <v>0.20712389380530974</v>
      </c>
      <c r="O34">
        <f t="shared" si="2"/>
        <v>0.20402654867256637</v>
      </c>
      <c r="Q34">
        <f t="shared" si="2"/>
        <v>0.20592920353982302</v>
      </c>
      <c r="R34">
        <f t="shared" si="2"/>
        <v>0.20681415929203542</v>
      </c>
      <c r="S34">
        <f t="shared" si="2"/>
        <v>0.20438053097345132</v>
      </c>
      <c r="U34">
        <f t="shared" si="2"/>
        <v>0.11694690265486726</v>
      </c>
      <c r="V34">
        <f t="shared" si="2"/>
        <v>0.11513274336283186</v>
      </c>
      <c r="W34">
        <f t="shared" si="2"/>
        <v>0.11601769911504425</v>
      </c>
    </row>
    <row r="35" spans="3:23">
      <c r="E35">
        <f t="shared" si="2"/>
        <v>0.42699115044247793</v>
      </c>
      <c r="F35">
        <f t="shared" si="2"/>
        <v>0.40088495575221245</v>
      </c>
      <c r="G35">
        <f t="shared" si="2"/>
        <v>0.41814159292035402</v>
      </c>
      <c r="I35">
        <f t="shared" si="2"/>
        <v>0.33318584070796464</v>
      </c>
      <c r="J35">
        <f t="shared" si="2"/>
        <v>0.30575221238938055</v>
      </c>
      <c r="K35">
        <f t="shared" si="2"/>
        <v>0.31548672566371683</v>
      </c>
      <c r="M35">
        <f t="shared" si="2"/>
        <v>0.33026548672566375</v>
      </c>
      <c r="N35">
        <f t="shared" si="2"/>
        <v>0.30575221238938055</v>
      </c>
      <c r="O35">
        <f t="shared" si="2"/>
        <v>0.33938053097345139</v>
      </c>
      <c r="Q35">
        <f t="shared" si="2"/>
        <v>0.57876106194690269</v>
      </c>
      <c r="R35">
        <f t="shared" si="2"/>
        <v>0.59026548672566381</v>
      </c>
      <c r="S35">
        <f t="shared" si="2"/>
        <v>0.60619469026548678</v>
      </c>
      <c r="U35">
        <f t="shared" si="2"/>
        <v>0.38274336283185845</v>
      </c>
      <c r="V35">
        <f t="shared" si="2"/>
        <v>0.35796460176991152</v>
      </c>
      <c r="W35">
        <f t="shared" si="2"/>
        <v>0.34469026548672571</v>
      </c>
    </row>
    <row r="39" spans="3:23">
      <c r="C39" t="s">
        <v>90</v>
      </c>
      <c r="E39">
        <f>AVERAGE(E32:G32)</f>
        <v>7.7603310099981712E-3</v>
      </c>
      <c r="I39">
        <f t="shared" ref="I39:U42" si="3">AVERAGE(I32:K32)</f>
        <v>3.2758112094395269E-3</v>
      </c>
      <c r="M39">
        <f t="shared" si="3"/>
        <v>1.5476253687315636E-2</v>
      </c>
      <c r="Q39">
        <f t="shared" si="3"/>
        <v>1.0973451327433629E-2</v>
      </c>
      <c r="U39">
        <f t="shared" si="3"/>
        <v>1.5427728613569322E-2</v>
      </c>
    </row>
    <row r="40" spans="3:23">
      <c r="E40">
        <f t="shared" ref="E40:E42" si="4">AVERAGE(E33:G33)</f>
        <v>0.13430580572741277</v>
      </c>
      <c r="I40">
        <f t="shared" si="3"/>
        <v>0.13092035398230087</v>
      </c>
      <c r="M40">
        <f t="shared" si="3"/>
        <v>0.18264011799410029</v>
      </c>
      <c r="Q40">
        <f t="shared" si="3"/>
        <v>0.17886430678466078</v>
      </c>
      <c r="U40">
        <f t="shared" si="3"/>
        <v>0.13486725663716817</v>
      </c>
    </row>
    <row r="41" spans="3:23">
      <c r="E41">
        <f t="shared" si="4"/>
        <v>9.9573772417573883E-2</v>
      </c>
      <c r="I41">
        <f t="shared" si="3"/>
        <v>0.16532448377581122</v>
      </c>
      <c r="M41">
        <f t="shared" si="3"/>
        <v>0.20553097345132745</v>
      </c>
      <c r="Q41">
        <f t="shared" si="3"/>
        <v>0.2057079646017699</v>
      </c>
      <c r="U41">
        <f t="shared" si="3"/>
        <v>0.11603244837758113</v>
      </c>
    </row>
    <row r="42" spans="3:23">
      <c r="E42">
        <f t="shared" si="4"/>
        <v>0.41533923303834813</v>
      </c>
      <c r="I42">
        <f t="shared" si="3"/>
        <v>0.31814159292035399</v>
      </c>
      <c r="M42">
        <f t="shared" si="3"/>
        <v>0.32513274336283193</v>
      </c>
      <c r="Q42">
        <f t="shared" si="3"/>
        <v>0.5917404129793512</v>
      </c>
      <c r="U42">
        <f t="shared" si="3"/>
        <v>0.36179941002949856</v>
      </c>
    </row>
  </sheetData>
  <mergeCells count="6">
    <mergeCell ref="U15:W15"/>
    <mergeCell ref="F2:L2"/>
    <mergeCell ref="E15:G15"/>
    <mergeCell ref="I15:K15"/>
    <mergeCell ref="M15:O15"/>
    <mergeCell ref="Q15:S1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4"/>
  <sheetViews>
    <sheetView workbookViewId="0">
      <selection activeCell="E11" sqref="E11"/>
    </sheetView>
  </sheetViews>
  <sheetFormatPr defaultRowHeight="15"/>
  <cols>
    <col min="1" max="1" width="16.140625" customWidth="1"/>
  </cols>
  <sheetData>
    <row r="1" spans="1:16384">
      <c r="A1" t="s">
        <v>411</v>
      </c>
    </row>
    <row r="2" spans="1:16384">
      <c r="A2" s="4"/>
      <c r="F2" s="4" t="s">
        <v>119</v>
      </c>
      <c r="G2" s="4"/>
      <c r="H2" s="4"/>
      <c r="I2" s="4"/>
      <c r="J2" s="4"/>
      <c r="K2" s="4"/>
      <c r="L2" s="4"/>
      <c r="M2" s="4"/>
      <c r="N2" s="4"/>
      <c r="O2" s="4"/>
      <c r="P2" s="4"/>
    </row>
    <row r="4" spans="1:16384">
      <c r="A4" s="4" t="s">
        <v>120</v>
      </c>
    </row>
    <row r="6" spans="1:16384">
      <c r="A6" t="s">
        <v>93</v>
      </c>
    </row>
    <row r="8" spans="1:16384">
      <c r="A8" t="s">
        <v>121</v>
      </c>
    </row>
    <row r="9" spans="1:1638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4"/>
      <c r="XFC9" s="4"/>
      <c r="XFD9" s="4"/>
    </row>
    <row r="10" spans="1:16384">
      <c r="A10" s="4" t="s">
        <v>106</v>
      </c>
      <c r="B10" s="4" t="s">
        <v>75</v>
      </c>
    </row>
    <row r="11" spans="1:16384">
      <c r="A11" s="23" t="s">
        <v>76</v>
      </c>
      <c r="B11" s="4">
        <v>4.0000000000000001E-3</v>
      </c>
      <c r="E11" s="22"/>
      <c r="F11" s="22"/>
      <c r="G11" s="22"/>
      <c r="I11" s="22"/>
      <c r="J11" s="22"/>
      <c r="K11" s="22"/>
      <c r="U11" s="22"/>
      <c r="V11" s="22"/>
      <c r="W11" s="22"/>
    </row>
    <row r="12" spans="1:16384">
      <c r="A12" t="s">
        <v>107</v>
      </c>
      <c r="B12">
        <v>5.0000000000000001E-3</v>
      </c>
      <c r="E12" s="22"/>
      <c r="F12" s="22"/>
      <c r="G12" s="22"/>
      <c r="I12" s="22"/>
      <c r="J12" s="22"/>
      <c r="K12" s="22"/>
      <c r="U12" s="22"/>
      <c r="V12" s="22"/>
      <c r="W12" s="22"/>
    </row>
    <row r="13" spans="1:16384">
      <c r="A13" t="s">
        <v>122</v>
      </c>
      <c r="B13">
        <v>6.6000000000000003E-2</v>
      </c>
      <c r="E13" s="22"/>
      <c r="F13" s="22"/>
      <c r="G13" s="22"/>
      <c r="I13" s="22"/>
      <c r="J13" s="22"/>
      <c r="K13" s="22"/>
      <c r="U13" s="22"/>
      <c r="V13" s="22"/>
      <c r="W13" s="22"/>
    </row>
    <row r="14" spans="1:16384">
      <c r="A14" t="s">
        <v>109</v>
      </c>
      <c r="B14">
        <v>1</v>
      </c>
      <c r="E14" s="22"/>
      <c r="F14" s="22"/>
      <c r="G14" s="22"/>
      <c r="I14" s="22"/>
      <c r="J14" s="22"/>
      <c r="K14" s="22"/>
      <c r="M14" s="19"/>
      <c r="N14" s="19"/>
      <c r="O14" s="19"/>
      <c r="Q14" s="19"/>
      <c r="R14" s="19"/>
      <c r="S14" s="19"/>
      <c r="U14" s="22"/>
      <c r="V14" s="22"/>
      <c r="W14" s="22"/>
    </row>
    <row r="15" spans="1:16384">
      <c r="A15" t="s">
        <v>123</v>
      </c>
      <c r="B15">
        <v>10</v>
      </c>
    </row>
    <row r="17" spans="1:23">
      <c r="B17" s="4" t="s">
        <v>79</v>
      </c>
      <c r="E17" s="74" t="s">
        <v>80</v>
      </c>
      <c r="F17" s="72"/>
      <c r="G17" s="72"/>
      <c r="I17" s="74" t="s">
        <v>81</v>
      </c>
      <c r="J17" s="74"/>
      <c r="K17" s="74"/>
      <c r="L17" s="4"/>
      <c r="M17" s="74" t="s">
        <v>82</v>
      </c>
      <c r="N17" s="74"/>
      <c r="O17" s="74"/>
      <c r="P17" s="4"/>
      <c r="Q17" s="74" t="s">
        <v>83</v>
      </c>
      <c r="R17" s="74"/>
      <c r="S17" s="74"/>
      <c r="T17" s="4"/>
      <c r="U17" s="74" t="s">
        <v>84</v>
      </c>
      <c r="V17" s="74"/>
      <c r="W17" s="74"/>
    </row>
    <row r="18" spans="1:23">
      <c r="B18" t="s">
        <v>85</v>
      </c>
      <c r="E18" s="22">
        <v>0.83905802469136004</v>
      </c>
      <c r="F18" s="22">
        <v>0.83499999999999996</v>
      </c>
      <c r="G18" s="22">
        <v>0.83299999999999996</v>
      </c>
      <c r="I18" s="22">
        <v>1.4757</v>
      </c>
      <c r="J18" s="22">
        <v>1.4738</v>
      </c>
      <c r="K18" s="22">
        <v>1.4792000000000001</v>
      </c>
      <c r="M18">
        <v>1.8343</v>
      </c>
      <c r="N18">
        <v>1.8368</v>
      </c>
      <c r="O18">
        <v>1.8394999999999999</v>
      </c>
      <c r="Q18">
        <v>0.94854000000000005</v>
      </c>
      <c r="R18">
        <v>0.94864000000000004</v>
      </c>
      <c r="S18">
        <v>0.94896000000000003</v>
      </c>
      <c r="U18" s="22">
        <v>1.6738</v>
      </c>
      <c r="V18" s="22">
        <v>1.6584000000000001</v>
      </c>
      <c r="W18" s="22">
        <v>1.6754</v>
      </c>
    </row>
    <row r="19" spans="1:23">
      <c r="B19" t="s">
        <v>6</v>
      </c>
      <c r="D19" s="22"/>
      <c r="E19" s="22">
        <v>0.41930493827159998</v>
      </c>
      <c r="F19" s="22">
        <v>0.41270000000000001</v>
      </c>
      <c r="G19" s="22">
        <v>0.41839999999999999</v>
      </c>
      <c r="I19" s="22">
        <v>2.835</v>
      </c>
      <c r="J19" s="22">
        <v>2.8344999999999998</v>
      </c>
      <c r="K19" s="22">
        <v>2.8313999999999999</v>
      </c>
      <c r="M19">
        <v>2.5695999999999999</v>
      </c>
      <c r="N19">
        <v>2.5638000000000001</v>
      </c>
      <c r="O19">
        <v>2.5688</v>
      </c>
      <c r="Q19">
        <v>1.7945</v>
      </c>
      <c r="R19">
        <v>1.7971999999999999</v>
      </c>
      <c r="S19">
        <v>1.7984</v>
      </c>
      <c r="U19" s="22">
        <v>1.3765000000000001</v>
      </c>
      <c r="V19" s="22">
        <v>1.3784000000000001</v>
      </c>
      <c r="W19" s="22">
        <v>1.3732</v>
      </c>
    </row>
    <row r="20" spans="1:23">
      <c r="B20" s="20" t="s">
        <v>57</v>
      </c>
      <c r="D20" s="22"/>
      <c r="E20" s="22">
        <v>0.35757654320988003</v>
      </c>
      <c r="F20" s="22">
        <v>0.32300000000000001</v>
      </c>
      <c r="G20" s="22">
        <v>0.3528</v>
      </c>
      <c r="I20" s="22">
        <v>1.7649999999999999</v>
      </c>
      <c r="J20" s="22">
        <v>1.7634000000000001</v>
      </c>
      <c r="K20" s="22">
        <v>1.7623</v>
      </c>
      <c r="M20">
        <v>1.7911999999999999</v>
      </c>
      <c r="N20">
        <v>1.7965</v>
      </c>
      <c r="O20">
        <v>1.7954000000000001</v>
      </c>
      <c r="Q20">
        <v>1.2949999999999999</v>
      </c>
      <c r="R20">
        <v>1.2985</v>
      </c>
      <c r="S20">
        <v>1.2943</v>
      </c>
      <c r="U20" s="22">
        <v>1.4837</v>
      </c>
      <c r="V20" s="22">
        <v>1.4818</v>
      </c>
      <c r="W20" s="22">
        <v>1.4874000000000001</v>
      </c>
    </row>
    <row r="21" spans="1:23">
      <c r="B21" t="s">
        <v>52</v>
      </c>
      <c r="E21" s="22">
        <v>1.498</v>
      </c>
      <c r="F21" s="22">
        <v>1.77</v>
      </c>
      <c r="G21" s="22">
        <v>1.37</v>
      </c>
      <c r="I21" s="22">
        <v>3.18</v>
      </c>
      <c r="J21" s="22">
        <v>3.56</v>
      </c>
      <c r="K21" s="22">
        <v>3.1840000000000002</v>
      </c>
      <c r="M21" s="19">
        <v>2.11</v>
      </c>
      <c r="N21" s="19">
        <v>2.5470000000000002</v>
      </c>
      <c r="O21" s="19">
        <v>2.75</v>
      </c>
      <c r="Q21" s="19">
        <v>2.1800000000000002</v>
      </c>
      <c r="R21" s="19">
        <v>2.4700000000000002</v>
      </c>
      <c r="S21" s="19">
        <v>2.88</v>
      </c>
      <c r="U21" s="22">
        <v>2.48</v>
      </c>
      <c r="V21" s="22">
        <v>2.77</v>
      </c>
      <c r="W21" s="22">
        <v>2.63</v>
      </c>
    </row>
    <row r="26" spans="1:23">
      <c r="A26" t="s">
        <v>116</v>
      </c>
      <c r="E26" s="22">
        <f>E18-0.005</f>
        <v>0.83405802469136003</v>
      </c>
      <c r="F26" s="22">
        <f t="shared" ref="F26:W26" si="0">F18-0.005</f>
        <v>0.83</v>
      </c>
      <c r="G26" s="22">
        <f t="shared" si="0"/>
        <v>0.82799999999999996</v>
      </c>
      <c r="H26" s="22"/>
      <c r="I26" s="22">
        <f t="shared" si="0"/>
        <v>1.4707000000000001</v>
      </c>
      <c r="J26" s="22">
        <f t="shared" si="0"/>
        <v>1.4688000000000001</v>
      </c>
      <c r="K26" s="22">
        <f t="shared" si="0"/>
        <v>1.4742000000000002</v>
      </c>
      <c r="L26" s="22"/>
      <c r="M26" s="22">
        <f t="shared" si="0"/>
        <v>1.8293000000000001</v>
      </c>
      <c r="N26" s="22">
        <f t="shared" si="0"/>
        <v>1.8318000000000001</v>
      </c>
      <c r="O26" s="22">
        <f t="shared" si="0"/>
        <v>1.8345</v>
      </c>
      <c r="P26" s="22"/>
      <c r="Q26" s="22">
        <f t="shared" si="0"/>
        <v>0.94354000000000005</v>
      </c>
      <c r="R26" s="22">
        <f t="shared" si="0"/>
        <v>0.94364000000000003</v>
      </c>
      <c r="S26" s="22">
        <f t="shared" si="0"/>
        <v>0.94396000000000002</v>
      </c>
      <c r="T26" s="22"/>
      <c r="U26" s="22">
        <f t="shared" si="0"/>
        <v>1.6688000000000001</v>
      </c>
      <c r="V26" s="22">
        <f t="shared" si="0"/>
        <v>1.6534000000000002</v>
      </c>
      <c r="W26" s="22">
        <f t="shared" si="0"/>
        <v>1.6704000000000001</v>
      </c>
    </row>
    <row r="27" spans="1:23">
      <c r="E27" s="22">
        <f t="shared" ref="E27:W29" si="1">E19-0.005</f>
        <v>0.41430493827159998</v>
      </c>
      <c r="F27" s="22">
        <f t="shared" si="1"/>
        <v>0.40770000000000001</v>
      </c>
      <c r="G27" s="22">
        <f t="shared" si="1"/>
        <v>0.41339999999999999</v>
      </c>
      <c r="H27" s="22"/>
      <c r="I27" s="22">
        <f t="shared" si="1"/>
        <v>2.83</v>
      </c>
      <c r="J27" s="22">
        <f t="shared" si="1"/>
        <v>2.8294999999999999</v>
      </c>
      <c r="K27" s="22">
        <f t="shared" si="1"/>
        <v>2.8264</v>
      </c>
      <c r="L27" s="22"/>
      <c r="M27" s="22">
        <f t="shared" si="1"/>
        <v>2.5646</v>
      </c>
      <c r="N27" s="22">
        <f t="shared" si="1"/>
        <v>2.5588000000000002</v>
      </c>
      <c r="O27" s="22">
        <f t="shared" si="1"/>
        <v>2.5638000000000001</v>
      </c>
      <c r="P27" s="22"/>
      <c r="Q27" s="22">
        <f t="shared" si="1"/>
        <v>1.7895000000000001</v>
      </c>
      <c r="R27" s="22">
        <f t="shared" si="1"/>
        <v>1.7922</v>
      </c>
      <c r="S27" s="22">
        <f t="shared" si="1"/>
        <v>1.7934000000000001</v>
      </c>
      <c r="T27" s="22"/>
      <c r="U27" s="22">
        <f t="shared" si="1"/>
        <v>1.3715000000000002</v>
      </c>
      <c r="V27" s="22">
        <f t="shared" si="1"/>
        <v>1.3734000000000002</v>
      </c>
      <c r="W27" s="22">
        <f t="shared" si="1"/>
        <v>1.3682000000000001</v>
      </c>
    </row>
    <row r="28" spans="1:23">
      <c r="E28" s="22">
        <f t="shared" si="1"/>
        <v>0.35257654320988002</v>
      </c>
      <c r="F28" s="22">
        <f t="shared" si="1"/>
        <v>0.318</v>
      </c>
      <c r="G28" s="22">
        <f t="shared" si="1"/>
        <v>0.3478</v>
      </c>
      <c r="H28" s="22"/>
      <c r="I28" s="22">
        <f t="shared" si="1"/>
        <v>1.76</v>
      </c>
      <c r="J28" s="22">
        <f t="shared" si="1"/>
        <v>1.7584000000000002</v>
      </c>
      <c r="K28" s="22">
        <f t="shared" si="1"/>
        <v>1.7573000000000001</v>
      </c>
      <c r="L28" s="22"/>
      <c r="M28" s="22">
        <f t="shared" si="1"/>
        <v>1.7862</v>
      </c>
      <c r="N28" s="22">
        <f t="shared" si="1"/>
        <v>1.7915000000000001</v>
      </c>
      <c r="O28" s="22">
        <f t="shared" si="1"/>
        <v>1.7904000000000002</v>
      </c>
      <c r="P28" s="22"/>
      <c r="Q28" s="22">
        <f t="shared" si="1"/>
        <v>1.29</v>
      </c>
      <c r="R28" s="22">
        <f t="shared" si="1"/>
        <v>1.2935000000000001</v>
      </c>
      <c r="S28" s="22">
        <f t="shared" si="1"/>
        <v>1.2893000000000001</v>
      </c>
      <c r="T28" s="22"/>
      <c r="U28" s="22">
        <f t="shared" si="1"/>
        <v>1.4787000000000001</v>
      </c>
      <c r="V28" s="22">
        <f t="shared" si="1"/>
        <v>1.4768000000000001</v>
      </c>
      <c r="W28" s="22">
        <f t="shared" si="1"/>
        <v>1.4824000000000002</v>
      </c>
    </row>
    <row r="29" spans="1:23">
      <c r="E29" s="22">
        <f t="shared" si="1"/>
        <v>1.4930000000000001</v>
      </c>
      <c r="F29" s="22">
        <f t="shared" si="1"/>
        <v>1.7650000000000001</v>
      </c>
      <c r="G29" s="22">
        <f t="shared" si="1"/>
        <v>1.3650000000000002</v>
      </c>
      <c r="H29" s="22"/>
      <c r="I29" s="22">
        <f t="shared" si="1"/>
        <v>3.1750000000000003</v>
      </c>
      <c r="J29" s="22">
        <f t="shared" si="1"/>
        <v>3.5550000000000002</v>
      </c>
      <c r="K29" s="22">
        <f t="shared" si="1"/>
        <v>3.1790000000000003</v>
      </c>
      <c r="L29" s="22"/>
      <c r="M29" s="22">
        <f t="shared" si="1"/>
        <v>2.105</v>
      </c>
      <c r="N29" s="22">
        <f t="shared" si="1"/>
        <v>2.5420000000000003</v>
      </c>
      <c r="O29" s="22">
        <f t="shared" si="1"/>
        <v>2.7450000000000001</v>
      </c>
      <c r="P29" s="22"/>
      <c r="Q29" s="22">
        <f t="shared" si="1"/>
        <v>2.1750000000000003</v>
      </c>
      <c r="R29" s="22">
        <f t="shared" si="1"/>
        <v>2.4650000000000003</v>
      </c>
      <c r="S29" s="22">
        <f t="shared" si="1"/>
        <v>2.875</v>
      </c>
      <c r="T29" s="22"/>
      <c r="U29" s="22">
        <f t="shared" si="1"/>
        <v>2.4750000000000001</v>
      </c>
      <c r="V29" s="22">
        <f t="shared" si="1"/>
        <v>2.7650000000000001</v>
      </c>
      <c r="W29" s="22">
        <f t="shared" si="1"/>
        <v>2.625</v>
      </c>
    </row>
    <row r="32" spans="1:23">
      <c r="A32" t="s">
        <v>124</v>
      </c>
      <c r="E32">
        <f>B13-B11</f>
        <v>6.2E-2</v>
      </c>
    </row>
    <row r="36" spans="1:23">
      <c r="A36" t="s">
        <v>125</v>
      </c>
      <c r="E36">
        <f>E26/0.062</f>
        <v>13.452548785344517</v>
      </c>
      <c r="F36">
        <f t="shared" ref="F36:W36" si="2">F26/0.062</f>
        <v>13.387096774193548</v>
      </c>
      <c r="G36">
        <f t="shared" si="2"/>
        <v>13.354838709677418</v>
      </c>
      <c r="H36">
        <f t="shared" si="2"/>
        <v>0</v>
      </c>
      <c r="I36">
        <f t="shared" si="2"/>
        <v>23.720967741935485</v>
      </c>
      <c r="J36">
        <f t="shared" si="2"/>
        <v>23.690322580645162</v>
      </c>
      <c r="K36">
        <f t="shared" si="2"/>
        <v>23.777419354838713</v>
      </c>
      <c r="L36">
        <f t="shared" si="2"/>
        <v>0</v>
      </c>
      <c r="M36">
        <f t="shared" si="2"/>
        <v>29.504838709677422</v>
      </c>
      <c r="N36">
        <f t="shared" si="2"/>
        <v>29.545161290322582</v>
      </c>
      <c r="O36">
        <f t="shared" si="2"/>
        <v>29.588709677419356</v>
      </c>
      <c r="P36">
        <f t="shared" si="2"/>
        <v>0</v>
      </c>
      <c r="Q36">
        <f t="shared" si="2"/>
        <v>15.218387096774194</v>
      </c>
      <c r="R36">
        <f t="shared" si="2"/>
        <v>15.22</v>
      </c>
      <c r="S36">
        <f t="shared" si="2"/>
        <v>15.225161290322582</v>
      </c>
      <c r="T36">
        <f t="shared" si="2"/>
        <v>0</v>
      </c>
      <c r="U36">
        <f t="shared" si="2"/>
        <v>26.916129032258066</v>
      </c>
      <c r="V36">
        <f t="shared" si="2"/>
        <v>26.667741935483875</v>
      </c>
      <c r="W36">
        <f t="shared" si="2"/>
        <v>26.941935483870971</v>
      </c>
    </row>
    <row r="37" spans="1:23">
      <c r="E37">
        <f t="shared" ref="E37:W39" si="3">E27/0.062</f>
        <v>6.6823377140580638</v>
      </c>
      <c r="F37">
        <f t="shared" si="3"/>
        <v>6.5758064516129036</v>
      </c>
      <c r="G37">
        <f t="shared" si="3"/>
        <v>6.6677419354838712</v>
      </c>
      <c r="H37">
        <f t="shared" si="3"/>
        <v>0</v>
      </c>
      <c r="I37">
        <f t="shared" si="3"/>
        <v>45.645161290322584</v>
      </c>
      <c r="J37">
        <f t="shared" si="3"/>
        <v>45.637096774193544</v>
      </c>
      <c r="K37">
        <f t="shared" si="3"/>
        <v>45.587096774193547</v>
      </c>
      <c r="L37">
        <f t="shared" si="3"/>
        <v>0</v>
      </c>
      <c r="M37">
        <f t="shared" si="3"/>
        <v>41.36451612903226</v>
      </c>
      <c r="N37">
        <f t="shared" si="3"/>
        <v>41.270967741935486</v>
      </c>
      <c r="O37">
        <f t="shared" si="3"/>
        <v>41.351612903225806</v>
      </c>
      <c r="P37">
        <f t="shared" si="3"/>
        <v>0</v>
      </c>
      <c r="Q37">
        <f t="shared" si="3"/>
        <v>28.862903225806452</v>
      </c>
      <c r="R37">
        <f t="shared" si="3"/>
        <v>28.906451612903226</v>
      </c>
      <c r="S37">
        <f t="shared" si="3"/>
        <v>28.925806451612907</v>
      </c>
      <c r="T37">
        <f t="shared" si="3"/>
        <v>0</v>
      </c>
      <c r="U37">
        <f t="shared" si="3"/>
        <v>22.120967741935488</v>
      </c>
      <c r="V37">
        <f t="shared" si="3"/>
        <v>22.151612903225811</v>
      </c>
      <c r="W37">
        <f t="shared" si="3"/>
        <v>22.067741935483873</v>
      </c>
    </row>
    <row r="38" spans="1:23">
      <c r="E38">
        <f t="shared" si="3"/>
        <v>5.6867184388690326</v>
      </c>
      <c r="F38">
        <f t="shared" si="3"/>
        <v>5.129032258064516</v>
      </c>
      <c r="G38">
        <f t="shared" si="3"/>
        <v>5.6096774193548384</v>
      </c>
      <c r="H38">
        <f t="shared" si="3"/>
        <v>0</v>
      </c>
      <c r="I38">
        <f t="shared" si="3"/>
        <v>28.387096774193548</v>
      </c>
      <c r="J38">
        <f t="shared" si="3"/>
        <v>28.361290322580647</v>
      </c>
      <c r="K38">
        <f t="shared" si="3"/>
        <v>28.343548387096774</v>
      </c>
      <c r="L38">
        <f t="shared" si="3"/>
        <v>0</v>
      </c>
      <c r="M38">
        <f t="shared" si="3"/>
        <v>28.809677419354838</v>
      </c>
      <c r="N38">
        <f t="shared" si="3"/>
        <v>28.895161290322584</v>
      </c>
      <c r="O38">
        <f t="shared" si="3"/>
        <v>28.877419354838715</v>
      </c>
      <c r="P38">
        <f t="shared" si="3"/>
        <v>0</v>
      </c>
      <c r="Q38">
        <f t="shared" si="3"/>
        <v>20.806451612903228</v>
      </c>
      <c r="R38">
        <f t="shared" si="3"/>
        <v>20.862903225806452</v>
      </c>
      <c r="S38">
        <f t="shared" si="3"/>
        <v>20.795161290322582</v>
      </c>
      <c r="T38">
        <f t="shared" si="3"/>
        <v>0</v>
      </c>
      <c r="U38">
        <f t="shared" si="3"/>
        <v>23.85</v>
      </c>
      <c r="V38">
        <f t="shared" si="3"/>
        <v>23.819354838709678</v>
      </c>
      <c r="W38">
        <f t="shared" si="3"/>
        <v>23.909677419354843</v>
      </c>
    </row>
    <row r="39" spans="1:23">
      <c r="E39">
        <f t="shared" si="3"/>
        <v>24.080645161290324</v>
      </c>
      <c r="F39">
        <f t="shared" si="3"/>
        <v>28.467741935483872</v>
      </c>
      <c r="G39">
        <f t="shared" si="3"/>
        <v>22.016129032258068</v>
      </c>
      <c r="H39">
        <f t="shared" si="3"/>
        <v>0</v>
      </c>
      <c r="I39">
        <f t="shared" si="3"/>
        <v>51.20967741935484</v>
      </c>
      <c r="J39">
        <f t="shared" si="3"/>
        <v>57.338709677419359</v>
      </c>
      <c r="K39">
        <f t="shared" si="3"/>
        <v>51.274193548387103</v>
      </c>
      <c r="L39">
        <f t="shared" si="3"/>
        <v>0</v>
      </c>
      <c r="M39">
        <f t="shared" si="3"/>
        <v>33.951612903225808</v>
      </c>
      <c r="N39">
        <f t="shared" si="3"/>
        <v>41.000000000000007</v>
      </c>
      <c r="O39">
        <f t="shared" si="3"/>
        <v>44.274193548387096</v>
      </c>
      <c r="P39">
        <f t="shared" si="3"/>
        <v>0</v>
      </c>
      <c r="Q39">
        <f t="shared" si="3"/>
        <v>35.080645161290327</v>
      </c>
      <c r="R39">
        <f t="shared" si="3"/>
        <v>39.758064516129039</v>
      </c>
      <c r="S39">
        <f t="shared" si="3"/>
        <v>46.370967741935488</v>
      </c>
      <c r="T39">
        <f t="shared" si="3"/>
        <v>0</v>
      </c>
      <c r="U39">
        <f t="shared" si="3"/>
        <v>39.91935483870968</v>
      </c>
      <c r="V39">
        <f t="shared" si="3"/>
        <v>44.596774193548391</v>
      </c>
      <c r="W39">
        <f t="shared" si="3"/>
        <v>42.338709677419352</v>
      </c>
    </row>
    <row r="43" spans="1:23">
      <c r="A43" t="s">
        <v>126</v>
      </c>
    </row>
    <row r="44" spans="1:23">
      <c r="E44">
        <f>E36*10*1</f>
        <v>134.52548785344516</v>
      </c>
      <c r="F44">
        <f t="shared" ref="F44:W44" si="4">F36*10*1</f>
        <v>133.87096774193549</v>
      </c>
      <c r="G44">
        <f t="shared" si="4"/>
        <v>133.54838709677418</v>
      </c>
      <c r="I44">
        <f t="shared" si="4"/>
        <v>237.20967741935485</v>
      </c>
      <c r="J44">
        <f t="shared" si="4"/>
        <v>236.90322580645162</v>
      </c>
      <c r="K44">
        <f t="shared" si="4"/>
        <v>237.77419354838713</v>
      </c>
      <c r="L44">
        <f t="shared" si="4"/>
        <v>0</v>
      </c>
      <c r="M44">
        <f t="shared" si="4"/>
        <v>295.04838709677421</v>
      </c>
      <c r="N44">
        <f t="shared" si="4"/>
        <v>295.45161290322585</v>
      </c>
      <c r="O44">
        <f t="shared" si="4"/>
        <v>295.88709677419354</v>
      </c>
      <c r="P44">
        <f t="shared" si="4"/>
        <v>0</v>
      </c>
      <c r="Q44">
        <f t="shared" si="4"/>
        <v>152.18387096774194</v>
      </c>
      <c r="R44">
        <f t="shared" si="4"/>
        <v>152.20000000000002</v>
      </c>
      <c r="S44">
        <f t="shared" si="4"/>
        <v>152.2516129032258</v>
      </c>
      <c r="T44">
        <f t="shared" si="4"/>
        <v>0</v>
      </c>
      <c r="U44">
        <f t="shared" si="4"/>
        <v>269.16129032258067</v>
      </c>
      <c r="V44">
        <f t="shared" si="4"/>
        <v>266.67741935483878</v>
      </c>
      <c r="W44">
        <f t="shared" si="4"/>
        <v>269.41935483870969</v>
      </c>
    </row>
    <row r="45" spans="1:23">
      <c r="E45">
        <f t="shared" ref="E45:W47" si="5">E37*10*1</f>
        <v>66.823377140580632</v>
      </c>
      <c r="F45">
        <f t="shared" si="5"/>
        <v>65.758064516129039</v>
      </c>
      <c r="G45">
        <f t="shared" si="5"/>
        <v>66.677419354838719</v>
      </c>
      <c r="I45">
        <f t="shared" si="5"/>
        <v>456.45161290322585</v>
      </c>
      <c r="J45">
        <f t="shared" si="5"/>
        <v>456.37096774193543</v>
      </c>
      <c r="K45">
        <f t="shared" si="5"/>
        <v>455.87096774193549</v>
      </c>
      <c r="L45">
        <f t="shared" si="5"/>
        <v>0</v>
      </c>
      <c r="M45">
        <f t="shared" si="5"/>
        <v>413.64516129032262</v>
      </c>
      <c r="N45">
        <f t="shared" si="5"/>
        <v>412.70967741935488</v>
      </c>
      <c r="O45">
        <f t="shared" si="5"/>
        <v>413.51612903225805</v>
      </c>
      <c r="P45">
        <f t="shared" si="5"/>
        <v>0</v>
      </c>
      <c r="Q45">
        <f t="shared" si="5"/>
        <v>288.62903225806451</v>
      </c>
      <c r="R45">
        <f t="shared" si="5"/>
        <v>289.06451612903226</v>
      </c>
      <c r="S45">
        <f t="shared" si="5"/>
        <v>289.25806451612908</v>
      </c>
      <c r="T45">
        <f t="shared" si="5"/>
        <v>0</v>
      </c>
      <c r="U45">
        <f t="shared" si="5"/>
        <v>221.20967741935488</v>
      </c>
      <c r="V45">
        <f t="shared" si="5"/>
        <v>221.51612903225811</v>
      </c>
      <c r="W45">
        <f t="shared" si="5"/>
        <v>220.67741935483872</v>
      </c>
    </row>
    <row r="46" spans="1:23">
      <c r="E46">
        <f t="shared" si="5"/>
        <v>56.867184388690326</v>
      </c>
      <c r="F46">
        <f t="shared" si="5"/>
        <v>51.29032258064516</v>
      </c>
      <c r="G46">
        <f t="shared" si="5"/>
        <v>56.096774193548384</v>
      </c>
      <c r="I46">
        <f t="shared" si="5"/>
        <v>283.87096774193549</v>
      </c>
      <c r="J46">
        <f t="shared" si="5"/>
        <v>283.61290322580646</v>
      </c>
      <c r="K46">
        <f t="shared" si="5"/>
        <v>283.43548387096774</v>
      </c>
      <c r="L46">
        <f t="shared" si="5"/>
        <v>0</v>
      </c>
      <c r="M46">
        <f t="shared" si="5"/>
        <v>288.09677419354836</v>
      </c>
      <c r="N46">
        <f t="shared" si="5"/>
        <v>288.95161290322585</v>
      </c>
      <c r="O46">
        <f t="shared" si="5"/>
        <v>288.77419354838713</v>
      </c>
      <c r="P46">
        <f t="shared" si="5"/>
        <v>0</v>
      </c>
      <c r="Q46">
        <f t="shared" si="5"/>
        <v>208.06451612903228</v>
      </c>
      <c r="R46">
        <f t="shared" si="5"/>
        <v>208.62903225806451</v>
      </c>
      <c r="S46">
        <f t="shared" si="5"/>
        <v>207.95161290322582</v>
      </c>
      <c r="T46">
        <f t="shared" si="5"/>
        <v>0</v>
      </c>
      <c r="U46">
        <f t="shared" si="5"/>
        <v>238.5</v>
      </c>
      <c r="V46">
        <f t="shared" si="5"/>
        <v>238.19354838709677</v>
      </c>
      <c r="W46">
        <f t="shared" si="5"/>
        <v>239.09677419354841</v>
      </c>
    </row>
    <row r="47" spans="1:23">
      <c r="E47">
        <f t="shared" si="5"/>
        <v>240.80645161290323</v>
      </c>
      <c r="F47">
        <f t="shared" si="5"/>
        <v>284.67741935483872</v>
      </c>
      <c r="G47">
        <f t="shared" si="5"/>
        <v>220.16129032258067</v>
      </c>
      <c r="I47">
        <f t="shared" si="5"/>
        <v>512.09677419354841</v>
      </c>
      <c r="J47">
        <f t="shared" si="5"/>
        <v>573.38709677419365</v>
      </c>
      <c r="K47">
        <f t="shared" si="5"/>
        <v>512.74193548387098</v>
      </c>
      <c r="L47">
        <f t="shared" si="5"/>
        <v>0</v>
      </c>
      <c r="M47">
        <f t="shared" si="5"/>
        <v>339.51612903225805</v>
      </c>
      <c r="N47">
        <f t="shared" si="5"/>
        <v>410.00000000000006</v>
      </c>
      <c r="O47">
        <f t="shared" si="5"/>
        <v>442.74193548387098</v>
      </c>
      <c r="P47">
        <f t="shared" si="5"/>
        <v>0</v>
      </c>
      <c r="Q47">
        <f t="shared" si="5"/>
        <v>350.80645161290329</v>
      </c>
      <c r="R47">
        <f t="shared" si="5"/>
        <v>397.58064516129036</v>
      </c>
      <c r="S47">
        <f t="shared" si="5"/>
        <v>463.70967741935488</v>
      </c>
      <c r="T47">
        <f t="shared" si="5"/>
        <v>0</v>
      </c>
      <c r="U47">
        <f t="shared" si="5"/>
        <v>399.19354838709683</v>
      </c>
      <c r="V47">
        <f t="shared" si="5"/>
        <v>445.9677419354839</v>
      </c>
      <c r="W47">
        <f t="shared" si="5"/>
        <v>423.38709677419354</v>
      </c>
    </row>
    <row r="51" spans="2:21">
      <c r="B51" t="s">
        <v>112</v>
      </c>
      <c r="E51">
        <f>AVERAGE(E44:G44)</f>
        <v>133.98161423071826</v>
      </c>
      <c r="I51">
        <f t="shared" ref="I51:U54" si="6">AVERAGE(I44:K44)</f>
        <v>237.29569892473123</v>
      </c>
      <c r="M51">
        <f t="shared" si="6"/>
        <v>295.46236559139783</v>
      </c>
      <c r="Q51">
        <f t="shared" si="6"/>
        <v>152.21182795698925</v>
      </c>
      <c r="U51">
        <f t="shared" si="6"/>
        <v>268.41935483870975</v>
      </c>
    </row>
    <row r="52" spans="2:21">
      <c r="E52">
        <f t="shared" ref="E52:E54" si="7">AVERAGE(E45:G45)</f>
        <v>66.419620337182792</v>
      </c>
      <c r="I52">
        <f t="shared" si="6"/>
        <v>456.23118279569889</v>
      </c>
      <c r="M52">
        <f t="shared" si="6"/>
        <v>413.29032258064518</v>
      </c>
      <c r="Q52">
        <f t="shared" si="6"/>
        <v>288.98387096774195</v>
      </c>
      <c r="U52">
        <f t="shared" si="6"/>
        <v>221.13440860215056</v>
      </c>
    </row>
    <row r="53" spans="2:21">
      <c r="E53">
        <f t="shared" si="7"/>
        <v>54.751427054294624</v>
      </c>
      <c r="I53">
        <f t="shared" si="6"/>
        <v>283.6397849462366</v>
      </c>
      <c r="M53">
        <f t="shared" si="6"/>
        <v>288.60752688172039</v>
      </c>
      <c r="Q53">
        <f t="shared" si="6"/>
        <v>208.21505376344089</v>
      </c>
      <c r="U53">
        <f t="shared" si="6"/>
        <v>238.59677419354838</v>
      </c>
    </row>
    <row r="54" spans="2:21">
      <c r="E54">
        <f t="shared" si="7"/>
        <v>248.54838709677423</v>
      </c>
      <c r="I54">
        <f t="shared" si="6"/>
        <v>532.74193548387098</v>
      </c>
      <c r="M54">
        <f t="shared" si="6"/>
        <v>397.41935483870969</v>
      </c>
      <c r="Q54">
        <f t="shared" si="6"/>
        <v>404.03225806451616</v>
      </c>
      <c r="U54">
        <f t="shared" si="6"/>
        <v>422.84946236559136</v>
      </c>
    </row>
  </sheetData>
  <mergeCells count="5">
    <mergeCell ref="E17:G17"/>
    <mergeCell ref="I17:K17"/>
    <mergeCell ref="M17:O17"/>
    <mergeCell ref="Q17:S17"/>
    <mergeCell ref="U17:W1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F17" sqref="F17"/>
    </sheetView>
  </sheetViews>
  <sheetFormatPr defaultRowHeight="15"/>
  <cols>
    <col min="1" max="1" width="16.5703125" customWidth="1"/>
  </cols>
  <sheetData>
    <row r="1" spans="1:4">
      <c r="A1" t="s">
        <v>415</v>
      </c>
    </row>
    <row r="2" spans="1:4">
      <c r="A2" s="4" t="s">
        <v>204</v>
      </c>
    </row>
    <row r="3" spans="1:4">
      <c r="B3" s="51" t="s">
        <v>199</v>
      </c>
      <c r="C3" s="51" t="s">
        <v>200</v>
      </c>
      <c r="D3" s="51" t="s">
        <v>201</v>
      </c>
    </row>
    <row r="4" spans="1:4">
      <c r="A4" s="4" t="s">
        <v>205</v>
      </c>
      <c r="B4" s="15">
        <v>6.74</v>
      </c>
      <c r="C4" s="15">
        <v>7.9560000000000004</v>
      </c>
      <c r="D4" s="15">
        <v>6.306</v>
      </c>
    </row>
    <row r="5" spans="1:4">
      <c r="A5" s="4">
        <v>2</v>
      </c>
      <c r="B5" s="15">
        <v>8.4949999999999992</v>
      </c>
      <c r="C5" s="15">
        <v>6.44</v>
      </c>
      <c r="D5" s="15">
        <v>7.4960000000000004</v>
      </c>
    </row>
    <row r="6" spans="1:4">
      <c r="A6" s="4">
        <v>3</v>
      </c>
      <c r="B6" s="15">
        <v>7.49</v>
      </c>
      <c r="C6" s="15">
        <v>7.4960000000000004</v>
      </c>
      <c r="D6" s="15">
        <v>7.54</v>
      </c>
    </row>
    <row r="7" spans="1:4">
      <c r="A7" s="4">
        <v>4</v>
      </c>
      <c r="B7" s="15">
        <v>9.74</v>
      </c>
      <c r="C7" s="15">
        <v>7.76</v>
      </c>
      <c r="D7" s="15">
        <v>6.4950000000000001</v>
      </c>
    </row>
    <row r="8" spans="1:4">
      <c r="A8" s="4">
        <v>5</v>
      </c>
      <c r="B8" s="15">
        <v>6.3940000000000001</v>
      </c>
      <c r="C8" s="15">
        <v>8.4949999999999992</v>
      </c>
      <c r="D8" s="15">
        <v>7.44</v>
      </c>
    </row>
    <row r="9" spans="1:4">
      <c r="A9" s="4" t="s">
        <v>150</v>
      </c>
      <c r="B9" s="15">
        <f>AVERAGE(B4:B8)</f>
        <v>7.7718000000000007</v>
      </c>
      <c r="C9" s="15">
        <f t="shared" ref="C9:D9" si="0">AVERAGE(C4:C8)</f>
        <v>7.6293999999999995</v>
      </c>
      <c r="D9" s="15">
        <f t="shared" si="0"/>
        <v>7.0554000000000006</v>
      </c>
    </row>
    <row r="20" spans="8:8">
      <c r="H20" t="s">
        <v>202</v>
      </c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"/>
  <sheetViews>
    <sheetView workbookViewId="0"/>
  </sheetViews>
  <sheetFormatPr defaultRowHeight="15"/>
  <sheetData>
    <row r="1" spans="1:27">
      <c r="A1" t="s">
        <v>414</v>
      </c>
    </row>
    <row r="2" spans="1:27">
      <c r="A2" t="s">
        <v>198</v>
      </c>
    </row>
    <row r="3" spans="1:27">
      <c r="A3" s="51" t="s">
        <v>172</v>
      </c>
      <c r="C3" s="29" t="s">
        <v>173</v>
      </c>
      <c r="D3" s="15"/>
      <c r="E3" s="15"/>
      <c r="F3" s="29" t="s">
        <v>174</v>
      </c>
      <c r="G3" s="15"/>
      <c r="H3" s="15"/>
      <c r="I3" s="29" t="s">
        <v>175</v>
      </c>
      <c r="J3" s="15"/>
      <c r="K3" s="15"/>
      <c r="L3" s="29" t="s">
        <v>176</v>
      </c>
      <c r="M3" s="15"/>
      <c r="N3" s="15"/>
      <c r="O3" s="29" t="s">
        <v>177</v>
      </c>
      <c r="P3" s="15"/>
      <c r="Q3" s="15"/>
      <c r="R3" s="29" t="s">
        <v>178</v>
      </c>
      <c r="S3" s="15"/>
      <c r="T3" s="15"/>
      <c r="U3" s="15"/>
      <c r="V3" s="15"/>
      <c r="W3" s="15"/>
      <c r="X3" s="15"/>
      <c r="Y3" s="15"/>
      <c r="Z3" s="15"/>
      <c r="AA3" s="53"/>
    </row>
    <row r="4" spans="1:27">
      <c r="B4" s="51" t="s">
        <v>179</v>
      </c>
      <c r="C4" s="14" t="s">
        <v>180</v>
      </c>
      <c r="D4" s="14" t="s">
        <v>181</v>
      </c>
      <c r="E4" s="14" t="s">
        <v>182</v>
      </c>
      <c r="F4" s="14" t="s">
        <v>180</v>
      </c>
      <c r="G4" s="14" t="s">
        <v>181</v>
      </c>
      <c r="H4" s="14" t="s">
        <v>182</v>
      </c>
      <c r="I4" s="14" t="s">
        <v>180</v>
      </c>
      <c r="J4" s="14" t="s">
        <v>181</v>
      </c>
      <c r="K4" s="14" t="s">
        <v>182</v>
      </c>
      <c r="L4" s="14" t="s">
        <v>180</v>
      </c>
      <c r="M4" s="14" t="s">
        <v>181</v>
      </c>
      <c r="N4" s="14" t="s">
        <v>182</v>
      </c>
      <c r="O4" s="14" t="s">
        <v>180</v>
      </c>
      <c r="P4" s="14" t="s">
        <v>181</v>
      </c>
      <c r="Q4" s="14" t="s">
        <v>182</v>
      </c>
      <c r="R4" s="14" t="s">
        <v>180</v>
      </c>
      <c r="S4" s="14" t="s">
        <v>181</v>
      </c>
      <c r="T4" s="14" t="s">
        <v>182</v>
      </c>
      <c r="U4" s="14"/>
      <c r="V4" s="15"/>
      <c r="W4" s="15"/>
      <c r="X4" s="15"/>
      <c r="Y4" s="15"/>
      <c r="Z4" s="15"/>
      <c r="AA4" s="53"/>
    </row>
    <row r="5" spans="1:27">
      <c r="A5" s="51" t="s">
        <v>199</v>
      </c>
      <c r="B5" s="51">
        <v>1</v>
      </c>
      <c r="C5" s="15">
        <v>5.6</v>
      </c>
      <c r="D5" s="15">
        <v>6.6</v>
      </c>
      <c r="E5" s="15">
        <f>C5*D5*D5/2</f>
        <v>121.96799999999998</v>
      </c>
      <c r="F5" s="15">
        <v>7.8</v>
      </c>
      <c r="G5" s="15">
        <v>4.2</v>
      </c>
      <c r="H5" s="15">
        <f t="shared" ref="H5:H9" si="0">F5*G5*G5/2</f>
        <v>68.795999999999992</v>
      </c>
      <c r="I5" s="15">
        <v>5.5</v>
      </c>
      <c r="J5" s="15">
        <v>7.5</v>
      </c>
      <c r="K5" s="15">
        <f t="shared" ref="K5:K9" si="1">I5*J5*J5/2</f>
        <v>154.6875</v>
      </c>
      <c r="L5" s="15">
        <v>6.7</v>
      </c>
      <c r="M5" s="15">
        <v>8.3000000000000007</v>
      </c>
      <c r="N5" s="15">
        <f t="shared" ref="N5:N9" si="2">L5*M5*M5/2</f>
        <v>230.78150000000005</v>
      </c>
      <c r="O5" s="15">
        <v>6.4</v>
      </c>
      <c r="P5" s="15">
        <v>3.6</v>
      </c>
      <c r="Q5" s="15">
        <f t="shared" ref="Q5:Q9" si="3">O5*P5*P5/2</f>
        <v>41.472000000000008</v>
      </c>
      <c r="R5" s="15">
        <v>5.6</v>
      </c>
      <c r="S5" s="15">
        <v>6.7</v>
      </c>
      <c r="T5" s="15">
        <f t="shared" ref="T5:T9" si="4">R5*S5*S5/2</f>
        <v>125.69199999999999</v>
      </c>
    </row>
    <row r="6" spans="1:27">
      <c r="B6" s="51">
        <v>2</v>
      </c>
      <c r="C6" s="15">
        <v>6.3</v>
      </c>
      <c r="D6" s="15">
        <v>7.2</v>
      </c>
      <c r="E6" s="15">
        <f>C6*D6*D6/2</f>
        <v>163.29599999999999</v>
      </c>
      <c r="F6" s="15">
        <v>8.3000000000000007</v>
      </c>
      <c r="G6" s="15">
        <v>6.3</v>
      </c>
      <c r="H6" s="15">
        <f t="shared" si="0"/>
        <v>164.71350000000001</v>
      </c>
      <c r="I6" s="15">
        <v>7.1</v>
      </c>
      <c r="J6" s="15">
        <v>4.5999999999999996</v>
      </c>
      <c r="K6" s="15">
        <f t="shared" si="1"/>
        <v>75.117999999999981</v>
      </c>
      <c r="L6" s="15">
        <v>4.5999999999999996</v>
      </c>
      <c r="M6" s="15">
        <v>6.6</v>
      </c>
      <c r="N6" s="15">
        <f t="shared" si="2"/>
        <v>100.18799999999997</v>
      </c>
      <c r="O6" s="15">
        <v>6.3</v>
      </c>
      <c r="P6" s="15">
        <v>5.7</v>
      </c>
      <c r="Q6" s="15">
        <f t="shared" si="3"/>
        <v>102.34349999999999</v>
      </c>
      <c r="R6" s="15">
        <v>7.1</v>
      </c>
      <c r="S6" s="15">
        <v>3.7</v>
      </c>
      <c r="T6" s="15">
        <f t="shared" si="4"/>
        <v>48.599499999999999</v>
      </c>
    </row>
    <row r="7" spans="1:27">
      <c r="B7" s="51">
        <v>3</v>
      </c>
      <c r="C7" s="15">
        <v>7.9</v>
      </c>
      <c r="D7" s="15">
        <v>8.4</v>
      </c>
      <c r="E7" s="15">
        <f>C7*D7*D7/2</f>
        <v>278.71199999999999</v>
      </c>
      <c r="F7" s="15">
        <v>7.5</v>
      </c>
      <c r="G7" s="15">
        <v>8.3000000000000007</v>
      </c>
      <c r="H7" s="15">
        <f t="shared" si="0"/>
        <v>258.33750000000003</v>
      </c>
      <c r="I7" s="15">
        <v>6.9</v>
      </c>
      <c r="J7" s="15">
        <v>7.2</v>
      </c>
      <c r="K7" s="15">
        <f t="shared" si="1"/>
        <v>178.84800000000004</v>
      </c>
      <c r="L7" s="15">
        <v>7.1</v>
      </c>
      <c r="M7" s="15">
        <v>6.2</v>
      </c>
      <c r="N7" s="15">
        <f t="shared" si="2"/>
        <v>136.46199999999999</v>
      </c>
      <c r="O7" s="15">
        <v>5.5</v>
      </c>
      <c r="P7" s="15">
        <v>7.7</v>
      </c>
      <c r="Q7" s="15">
        <f t="shared" si="3"/>
        <v>163.04750000000001</v>
      </c>
      <c r="R7" s="15">
        <v>4.5999999999999996</v>
      </c>
      <c r="S7" s="15">
        <v>7.5</v>
      </c>
      <c r="T7" s="15">
        <f t="shared" si="4"/>
        <v>129.375</v>
      </c>
    </row>
    <row r="8" spans="1:27">
      <c r="B8" s="51">
        <v>4</v>
      </c>
      <c r="C8" s="15">
        <v>9.3000000000000007</v>
      </c>
      <c r="D8" s="15">
        <v>6.7</v>
      </c>
      <c r="E8" s="15">
        <f t="shared" ref="E8:E9" si="5">C8*D8*D8/2</f>
        <v>208.73850000000004</v>
      </c>
      <c r="F8" s="15">
        <v>6.2</v>
      </c>
      <c r="G8" s="15">
        <v>7.1</v>
      </c>
      <c r="H8" s="15">
        <f t="shared" si="0"/>
        <v>156.27099999999999</v>
      </c>
      <c r="I8" s="15">
        <v>5.5</v>
      </c>
      <c r="J8" s="15">
        <v>6.2</v>
      </c>
      <c r="K8" s="15">
        <f t="shared" si="1"/>
        <v>105.71000000000001</v>
      </c>
      <c r="L8" s="15">
        <v>7.2</v>
      </c>
      <c r="M8" s="15">
        <v>5.8</v>
      </c>
      <c r="N8" s="15">
        <f t="shared" si="2"/>
        <v>121.10399999999998</v>
      </c>
      <c r="O8" s="15">
        <v>7.1</v>
      </c>
      <c r="P8" s="15">
        <v>5.7</v>
      </c>
      <c r="Q8" s="15">
        <f t="shared" si="3"/>
        <v>115.3395</v>
      </c>
      <c r="R8" s="15">
        <v>5.5</v>
      </c>
      <c r="S8" s="15">
        <v>6.1</v>
      </c>
      <c r="T8" s="15">
        <f t="shared" si="4"/>
        <v>102.32749999999999</v>
      </c>
    </row>
    <row r="9" spans="1:27">
      <c r="B9" s="51">
        <v>5</v>
      </c>
      <c r="C9" s="15">
        <v>8.1999999999999993</v>
      </c>
      <c r="D9" s="15">
        <v>6.8</v>
      </c>
      <c r="E9" s="15">
        <f t="shared" si="5"/>
        <v>189.58399999999997</v>
      </c>
      <c r="F9" s="15">
        <v>8.1999999999999993</v>
      </c>
      <c r="G9" s="15">
        <v>5.3</v>
      </c>
      <c r="H9" s="15">
        <f t="shared" si="0"/>
        <v>115.16899999999998</v>
      </c>
      <c r="I9" s="15">
        <v>5.4</v>
      </c>
      <c r="J9" s="15">
        <v>6.6</v>
      </c>
      <c r="K9" s="15">
        <f t="shared" si="1"/>
        <v>117.61199999999999</v>
      </c>
      <c r="L9" s="15">
        <v>6.3</v>
      </c>
      <c r="M9" s="15">
        <v>5.7</v>
      </c>
      <c r="N9" s="15">
        <f t="shared" si="2"/>
        <v>102.34349999999999</v>
      </c>
      <c r="O9" s="15">
        <v>6.2</v>
      </c>
      <c r="P9" s="15">
        <v>5.5</v>
      </c>
      <c r="Q9" s="15">
        <f t="shared" si="3"/>
        <v>93.775000000000006</v>
      </c>
      <c r="R9" s="15">
        <v>5.8</v>
      </c>
      <c r="S9" s="15">
        <v>5.4</v>
      </c>
      <c r="T9" s="15">
        <f t="shared" si="4"/>
        <v>84.564000000000007</v>
      </c>
    </row>
    <row r="10" spans="1:27">
      <c r="B10" s="51" t="s">
        <v>183</v>
      </c>
      <c r="C10" s="15"/>
      <c r="D10" s="15"/>
      <c r="E10" s="15">
        <f>AVERAGE(E5:E9)</f>
        <v>192.45969999999997</v>
      </c>
      <c r="F10" s="15"/>
      <c r="G10" s="15"/>
      <c r="H10" s="15">
        <f>AVERAGE(H5:H9)</f>
        <v>152.6574</v>
      </c>
      <c r="I10" s="15"/>
      <c r="J10" s="15"/>
      <c r="K10" s="15">
        <f>AVERAGE(K5:K9)</f>
        <v>126.3951</v>
      </c>
      <c r="L10" s="15"/>
      <c r="M10" s="15"/>
      <c r="N10" s="15">
        <f>AVERAGE(N5:N9)</f>
        <v>138.17579999999998</v>
      </c>
      <c r="O10" s="15"/>
      <c r="P10" s="15"/>
      <c r="Q10" s="15">
        <f>AVERAGE(Q5:Q9)</f>
        <v>103.1955</v>
      </c>
      <c r="R10" s="15"/>
      <c r="S10" s="15"/>
      <c r="T10" s="15">
        <f>AVERAGE(T5:T9)</f>
        <v>98.111599999999996</v>
      </c>
    </row>
    <row r="11" spans="1:27">
      <c r="B11" s="51" t="s">
        <v>184</v>
      </c>
      <c r="C11" s="15"/>
      <c r="D11" s="15"/>
      <c r="E11" s="15">
        <f>STDEV(E5:E9)</f>
        <v>58.164270393859624</v>
      </c>
      <c r="F11" s="15"/>
      <c r="G11" s="15"/>
      <c r="H11" s="15">
        <f>STDEV(H5:H9)</f>
        <v>70.293679894959311</v>
      </c>
      <c r="I11" s="15"/>
      <c r="J11" s="15"/>
      <c r="K11" s="15">
        <f>STDEV(K5:K9)</f>
        <v>40.884360726933245</v>
      </c>
      <c r="L11" s="15"/>
      <c r="M11" s="15"/>
      <c r="N11" s="15">
        <f>STDEV(N5:N9)</f>
        <v>53.84520826011363</v>
      </c>
      <c r="O11" s="15"/>
      <c r="P11" s="15"/>
      <c r="Q11" s="15">
        <f>STDEV(Q5:Q9)</f>
        <v>43.672075793635031</v>
      </c>
      <c r="R11" s="15"/>
      <c r="S11" s="15"/>
      <c r="T11" s="15">
        <f>STDEV(T5:T9)</f>
        <v>33.131699204462805</v>
      </c>
    </row>
    <row r="13" spans="1:27">
      <c r="A13" s="51" t="s">
        <v>172</v>
      </c>
      <c r="C13" s="29" t="s">
        <v>185</v>
      </c>
      <c r="F13" s="29" t="s">
        <v>186</v>
      </c>
      <c r="I13" s="29" t="s">
        <v>187</v>
      </c>
      <c r="L13" s="29" t="s">
        <v>188</v>
      </c>
      <c r="O13" s="29" t="s">
        <v>189</v>
      </c>
      <c r="R13" s="29" t="s">
        <v>190</v>
      </c>
    </row>
    <row r="14" spans="1:27">
      <c r="A14" s="51"/>
      <c r="B14" s="51" t="s">
        <v>179</v>
      </c>
      <c r="C14" s="14" t="s">
        <v>180</v>
      </c>
      <c r="D14" s="14" t="s">
        <v>181</v>
      </c>
      <c r="E14" s="14" t="s">
        <v>182</v>
      </c>
      <c r="F14" s="14" t="s">
        <v>180</v>
      </c>
      <c r="G14" s="14" t="s">
        <v>181</v>
      </c>
      <c r="H14" s="14" t="s">
        <v>182</v>
      </c>
      <c r="I14" s="14" t="s">
        <v>180</v>
      </c>
      <c r="J14" s="14" t="s">
        <v>181</v>
      </c>
      <c r="K14" s="14" t="s">
        <v>182</v>
      </c>
      <c r="L14" s="14" t="s">
        <v>180</v>
      </c>
      <c r="M14" s="14" t="s">
        <v>181</v>
      </c>
      <c r="N14" s="14" t="s">
        <v>182</v>
      </c>
      <c r="O14" s="14" t="s">
        <v>180</v>
      </c>
      <c r="P14" s="14" t="s">
        <v>181</v>
      </c>
      <c r="Q14" s="14" t="s">
        <v>182</v>
      </c>
      <c r="R14" s="14" t="s">
        <v>180</v>
      </c>
      <c r="S14" s="14" t="s">
        <v>181</v>
      </c>
      <c r="T14" s="14" t="s">
        <v>182</v>
      </c>
      <c r="U14" s="14"/>
    </row>
    <row r="15" spans="1:27">
      <c r="A15" s="51" t="s">
        <v>200</v>
      </c>
      <c r="B15" s="51">
        <v>1</v>
      </c>
      <c r="C15" s="15">
        <v>7.8</v>
      </c>
      <c r="D15" s="15">
        <v>5.6</v>
      </c>
      <c r="E15" s="15">
        <f>C15*D15*D15/2</f>
        <v>122.30399999999999</v>
      </c>
      <c r="F15" s="15">
        <v>6.6</v>
      </c>
      <c r="G15" s="15">
        <v>5.7</v>
      </c>
      <c r="H15" s="15">
        <f t="shared" ref="H15:H19" si="6">F15*G15*G15/2</f>
        <v>107.217</v>
      </c>
      <c r="I15" s="15">
        <v>5.6</v>
      </c>
      <c r="J15" s="15">
        <v>6.6</v>
      </c>
      <c r="K15" s="15">
        <f t="shared" ref="K15:K19" si="7">I15*J15*J15/2</f>
        <v>121.96799999999998</v>
      </c>
      <c r="L15" s="15">
        <v>5.7</v>
      </c>
      <c r="M15" s="15">
        <v>6.4</v>
      </c>
      <c r="N15" s="15">
        <f t="shared" ref="N15:N19" si="8">L15*M15*M15/2</f>
        <v>116.73600000000002</v>
      </c>
      <c r="O15" s="15">
        <v>6.7</v>
      </c>
      <c r="P15" s="15">
        <v>7.3</v>
      </c>
      <c r="Q15" s="15">
        <f t="shared" ref="Q15:Q19" si="9">O15*P15*P15/2</f>
        <v>178.52149999999997</v>
      </c>
      <c r="R15" s="15">
        <v>6.7</v>
      </c>
      <c r="S15" s="15">
        <v>7.7</v>
      </c>
      <c r="T15" s="15">
        <f t="shared" ref="T15:T19" si="10">R15*S15*S15/2</f>
        <v>198.62150000000003</v>
      </c>
    </row>
    <row r="16" spans="1:27">
      <c r="A16" s="51"/>
      <c r="B16" s="51">
        <v>2</v>
      </c>
      <c r="C16" s="15">
        <v>6.3</v>
      </c>
      <c r="D16" s="15">
        <v>8.3000000000000007</v>
      </c>
      <c r="E16" s="15">
        <f t="shared" ref="E16:E19" si="11">C16*D16*D16/2</f>
        <v>217.00350000000003</v>
      </c>
      <c r="F16" s="15">
        <v>7.3</v>
      </c>
      <c r="G16" s="15">
        <v>5.8</v>
      </c>
      <c r="H16" s="15">
        <f t="shared" si="6"/>
        <v>122.78599999999999</v>
      </c>
      <c r="I16" s="15">
        <v>7.3</v>
      </c>
      <c r="J16" s="15">
        <v>5.6</v>
      </c>
      <c r="K16" s="15">
        <f t="shared" si="7"/>
        <v>114.46399999999998</v>
      </c>
      <c r="L16" s="15">
        <v>7.1</v>
      </c>
      <c r="M16" s="15">
        <v>5.5</v>
      </c>
      <c r="N16" s="15">
        <f t="shared" si="8"/>
        <v>107.38749999999999</v>
      </c>
      <c r="O16" s="15">
        <v>6.6</v>
      </c>
      <c r="P16" s="15">
        <v>7.3</v>
      </c>
      <c r="Q16" s="15">
        <f t="shared" si="9"/>
        <v>175.857</v>
      </c>
      <c r="R16" s="15">
        <v>5.3</v>
      </c>
      <c r="S16" s="15">
        <v>5.8</v>
      </c>
      <c r="T16" s="15">
        <f t="shared" si="10"/>
        <v>89.145999999999987</v>
      </c>
    </row>
    <row r="17" spans="1:21">
      <c r="A17" s="51"/>
      <c r="B17" s="51">
        <v>3</v>
      </c>
      <c r="C17" s="15">
        <v>5.5</v>
      </c>
      <c r="D17" s="15">
        <v>6.8</v>
      </c>
      <c r="E17" s="15">
        <f t="shared" si="11"/>
        <v>127.16</v>
      </c>
      <c r="F17" s="15">
        <v>8.1999999999999993</v>
      </c>
      <c r="G17" s="15">
        <v>5.7</v>
      </c>
      <c r="H17" s="15">
        <f t="shared" si="6"/>
        <v>133.209</v>
      </c>
      <c r="I17" s="15">
        <v>5.8</v>
      </c>
      <c r="J17" s="15">
        <v>6.3</v>
      </c>
      <c r="K17" s="15">
        <f t="shared" si="7"/>
        <v>115.101</v>
      </c>
      <c r="L17" s="15">
        <v>6.4</v>
      </c>
      <c r="M17" s="15">
        <v>7.5</v>
      </c>
      <c r="N17" s="15">
        <f t="shared" si="8"/>
        <v>180</v>
      </c>
      <c r="O17" s="15">
        <v>7.2</v>
      </c>
      <c r="P17" s="15">
        <v>5</v>
      </c>
      <c r="Q17" s="15">
        <f t="shared" si="9"/>
        <v>90</v>
      </c>
      <c r="R17" s="15">
        <v>7.3</v>
      </c>
      <c r="S17" s="15">
        <v>5.6</v>
      </c>
      <c r="T17" s="15">
        <f t="shared" si="10"/>
        <v>114.46399999999998</v>
      </c>
    </row>
    <row r="18" spans="1:21">
      <c r="A18" s="51"/>
      <c r="B18" s="51">
        <v>4</v>
      </c>
      <c r="C18" s="15">
        <v>8.1999999999999993</v>
      </c>
      <c r="D18" s="15">
        <v>6.7</v>
      </c>
      <c r="E18" s="15">
        <f t="shared" si="11"/>
        <v>184.04900000000001</v>
      </c>
      <c r="F18" s="15">
        <v>6.3</v>
      </c>
      <c r="G18" s="15">
        <v>5.9</v>
      </c>
      <c r="H18" s="15">
        <f t="shared" si="6"/>
        <v>109.65150000000001</v>
      </c>
      <c r="I18" s="15">
        <v>6.6</v>
      </c>
      <c r="J18" s="15">
        <v>5.7</v>
      </c>
      <c r="K18" s="15">
        <f t="shared" si="7"/>
        <v>107.217</v>
      </c>
      <c r="L18" s="15">
        <v>5.7</v>
      </c>
      <c r="M18" s="15">
        <v>7.3</v>
      </c>
      <c r="N18" s="15">
        <f t="shared" si="8"/>
        <v>151.87649999999999</v>
      </c>
      <c r="O18" s="15">
        <v>7.4</v>
      </c>
      <c r="P18" s="15">
        <v>4.7</v>
      </c>
      <c r="Q18" s="15">
        <f t="shared" si="9"/>
        <v>81.733000000000004</v>
      </c>
      <c r="R18" s="15">
        <v>6.6</v>
      </c>
      <c r="S18" s="15">
        <v>4.3</v>
      </c>
      <c r="T18" s="15">
        <f t="shared" si="10"/>
        <v>61.016999999999996</v>
      </c>
    </row>
    <row r="19" spans="1:21" ht="11.45" customHeight="1">
      <c r="A19" s="51"/>
      <c r="B19" s="51">
        <v>5</v>
      </c>
      <c r="C19" s="15">
        <v>6.3</v>
      </c>
      <c r="D19" s="15">
        <v>7.7</v>
      </c>
      <c r="E19" s="15">
        <f t="shared" si="11"/>
        <v>186.76349999999999</v>
      </c>
      <c r="F19" s="15">
        <v>7.2</v>
      </c>
      <c r="G19" s="15">
        <v>4.7</v>
      </c>
      <c r="H19" s="15">
        <f t="shared" si="6"/>
        <v>79.524000000000015</v>
      </c>
      <c r="I19" s="15">
        <v>6.3</v>
      </c>
      <c r="J19" s="15">
        <v>7.4</v>
      </c>
      <c r="K19" s="15">
        <f t="shared" si="7"/>
        <v>172.494</v>
      </c>
      <c r="L19" s="15">
        <v>6.8</v>
      </c>
      <c r="M19" s="15">
        <v>8.6999999999999993</v>
      </c>
      <c r="N19" s="15">
        <f t="shared" si="8"/>
        <v>257.34599999999995</v>
      </c>
      <c r="O19" s="15">
        <v>7.5</v>
      </c>
      <c r="P19" s="15">
        <v>6.6</v>
      </c>
      <c r="Q19" s="15">
        <f t="shared" si="9"/>
        <v>163.35</v>
      </c>
      <c r="R19" s="15">
        <v>8.3000000000000007</v>
      </c>
      <c r="S19" s="15">
        <v>5.4</v>
      </c>
      <c r="T19" s="15">
        <f t="shared" si="10"/>
        <v>121.01400000000002</v>
      </c>
    </row>
    <row r="20" spans="1:21">
      <c r="A20" s="51"/>
      <c r="B20" s="51" t="s">
        <v>183</v>
      </c>
      <c r="C20" s="15"/>
      <c r="D20" s="15"/>
      <c r="E20" s="15">
        <f>AVERAGE(E15:E19)</f>
        <v>167.45599999999999</v>
      </c>
      <c r="F20" s="15"/>
      <c r="G20" s="15"/>
      <c r="H20" s="15">
        <f>AVERAGE(H15:H19)</f>
        <v>110.47750000000001</v>
      </c>
      <c r="I20" s="15"/>
      <c r="J20" s="15"/>
      <c r="K20" s="15">
        <f>AVERAGE(K15:K19)</f>
        <v>126.24879999999999</v>
      </c>
      <c r="L20" s="15"/>
      <c r="M20" s="15"/>
      <c r="N20" s="15">
        <f>AVERAGE(N15:N19)</f>
        <v>162.66919999999999</v>
      </c>
      <c r="O20" s="15"/>
      <c r="P20" s="15"/>
      <c r="Q20" s="15">
        <f>AVERAGE(Q15:Q19)</f>
        <v>137.89230000000001</v>
      </c>
      <c r="R20" s="15"/>
      <c r="S20" s="15"/>
      <c r="T20" s="15">
        <f>AVERAGE(T15:T19)</f>
        <v>116.85250000000001</v>
      </c>
    </row>
    <row r="21" spans="1:21">
      <c r="A21" s="51"/>
      <c r="B21" s="51" t="s">
        <v>191</v>
      </c>
      <c r="C21" s="15"/>
      <c r="D21" s="15"/>
      <c r="E21" s="15">
        <f>STDEV(E15:E19)</f>
        <v>41.126429098269604</v>
      </c>
      <c r="F21" s="15"/>
      <c r="G21" s="15"/>
      <c r="H21" s="15">
        <f>STDEV(H15:H19)</f>
        <v>20.23396008570737</v>
      </c>
      <c r="I21" s="15"/>
      <c r="J21" s="15"/>
      <c r="K21" s="15">
        <f>STDEV(K15:K19)</f>
        <v>26.373794469131731</v>
      </c>
      <c r="L21" s="15"/>
      <c r="M21" s="15"/>
      <c r="N21" s="15">
        <f>STDEV(N15:N19)</f>
        <v>60.304354480626017</v>
      </c>
      <c r="O21" s="15"/>
      <c r="P21" s="15"/>
      <c r="Q21" s="15">
        <f>STDEV(Q15:Q19)</f>
        <v>47.926204220134075</v>
      </c>
      <c r="R21" s="15"/>
      <c r="S21" s="15"/>
      <c r="T21" s="15">
        <f>STDEV(T15:T19)</f>
        <v>51.464661608719432</v>
      </c>
    </row>
    <row r="22" spans="1:21">
      <c r="C22" s="15"/>
      <c r="D22" s="15"/>
      <c r="E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1:21">
      <c r="C23" s="29" t="s">
        <v>192</v>
      </c>
      <c r="F23" s="29" t="s">
        <v>193</v>
      </c>
      <c r="I23" s="29" t="s">
        <v>194</v>
      </c>
      <c r="L23" s="29" t="s">
        <v>195</v>
      </c>
      <c r="O23" s="29" t="s">
        <v>196</v>
      </c>
      <c r="R23" s="29" t="s">
        <v>197</v>
      </c>
    </row>
    <row r="24" spans="1:21">
      <c r="A24" s="51"/>
      <c r="B24" s="51" t="s">
        <v>179</v>
      </c>
      <c r="C24" s="14" t="s">
        <v>180</v>
      </c>
      <c r="D24" s="14" t="s">
        <v>181</v>
      </c>
      <c r="E24" s="14" t="s">
        <v>182</v>
      </c>
      <c r="F24" s="14" t="s">
        <v>180</v>
      </c>
      <c r="G24" s="14" t="s">
        <v>181</v>
      </c>
      <c r="H24" s="14" t="s">
        <v>182</v>
      </c>
      <c r="I24" s="14" t="s">
        <v>180</v>
      </c>
      <c r="J24" s="14" t="s">
        <v>181</v>
      </c>
      <c r="K24" s="14" t="s">
        <v>182</v>
      </c>
      <c r="L24" s="14" t="s">
        <v>180</v>
      </c>
      <c r="M24" s="14" t="s">
        <v>181</v>
      </c>
      <c r="N24" s="14" t="s">
        <v>182</v>
      </c>
      <c r="O24" s="14" t="s">
        <v>180</v>
      </c>
      <c r="P24" s="14" t="s">
        <v>181</v>
      </c>
      <c r="Q24" s="14" t="s">
        <v>182</v>
      </c>
      <c r="R24" s="14" t="s">
        <v>180</v>
      </c>
      <c r="S24" s="14" t="s">
        <v>181</v>
      </c>
      <c r="T24" s="14" t="s">
        <v>182</v>
      </c>
      <c r="U24" s="14"/>
    </row>
    <row r="25" spans="1:21">
      <c r="A25" s="51" t="s">
        <v>201</v>
      </c>
      <c r="B25" s="51">
        <v>1</v>
      </c>
      <c r="C25" s="15">
        <v>6.4</v>
      </c>
      <c r="D25" s="15">
        <v>5.5</v>
      </c>
      <c r="E25" s="15">
        <f t="shared" ref="E25:E29" si="12">C25*D25*D25/2</f>
        <v>96.800000000000011</v>
      </c>
      <c r="F25" s="15">
        <v>5.6</v>
      </c>
      <c r="G25" s="15">
        <v>7.4</v>
      </c>
      <c r="H25" s="15">
        <f t="shared" ref="H25:H29" si="13">F25*G25*G25/2</f>
        <v>153.328</v>
      </c>
      <c r="I25" s="15">
        <v>4.7</v>
      </c>
      <c r="J25" s="15">
        <v>7.3</v>
      </c>
      <c r="K25" s="15">
        <f t="shared" ref="K25:K29" si="14">I25*J25*J25/2</f>
        <v>125.23150000000001</v>
      </c>
      <c r="L25" s="15">
        <v>4.7</v>
      </c>
      <c r="M25" s="15">
        <v>7.3</v>
      </c>
      <c r="N25" s="15">
        <f t="shared" ref="N25:N29" si="15">L25*M25*M25/2</f>
        <v>125.23150000000001</v>
      </c>
      <c r="O25" s="15">
        <v>7.1</v>
      </c>
      <c r="P25" s="15">
        <v>5.5</v>
      </c>
      <c r="Q25" s="15">
        <f t="shared" ref="Q25:Q29" si="16">O25*P25*P25/2</f>
        <v>107.38749999999999</v>
      </c>
      <c r="R25" s="15">
        <v>5.6</v>
      </c>
      <c r="S25" s="15">
        <v>7.4</v>
      </c>
      <c r="T25" s="15">
        <f t="shared" ref="T25:T29" si="17">R25*S25*S25/2</f>
        <v>153.328</v>
      </c>
    </row>
    <row r="26" spans="1:21">
      <c r="A26" s="51"/>
      <c r="B26" s="51">
        <v>2</v>
      </c>
      <c r="C26" s="15">
        <v>7.4</v>
      </c>
      <c r="D26" s="15">
        <v>8.3000000000000007</v>
      </c>
      <c r="E26" s="15">
        <f t="shared" si="12"/>
        <v>254.89300000000006</v>
      </c>
      <c r="F26" s="15">
        <v>5.3</v>
      </c>
      <c r="G26" s="15">
        <v>8.4</v>
      </c>
      <c r="H26" s="15">
        <f t="shared" si="13"/>
        <v>186.98400000000001</v>
      </c>
      <c r="I26" s="15">
        <v>6.7</v>
      </c>
      <c r="J26" s="15">
        <v>6.6</v>
      </c>
      <c r="K26" s="15">
        <f t="shared" si="14"/>
        <v>145.92599999999999</v>
      </c>
      <c r="L26" s="15">
        <v>4.7</v>
      </c>
      <c r="M26" s="15">
        <v>6.6</v>
      </c>
      <c r="N26" s="15">
        <f t="shared" si="15"/>
        <v>102.366</v>
      </c>
      <c r="O26" s="15">
        <v>7.3</v>
      </c>
      <c r="P26" s="15">
        <v>5.6</v>
      </c>
      <c r="Q26" s="15">
        <f t="shared" si="16"/>
        <v>114.46399999999998</v>
      </c>
      <c r="R26" s="15">
        <v>6.6</v>
      </c>
      <c r="S26" s="15">
        <v>5.3</v>
      </c>
      <c r="T26" s="15">
        <f t="shared" si="17"/>
        <v>92.696999999999989</v>
      </c>
    </row>
    <row r="27" spans="1:21">
      <c r="A27" s="51"/>
      <c r="B27" s="51">
        <v>3</v>
      </c>
      <c r="C27" s="15">
        <v>4.5999999999999996</v>
      </c>
      <c r="D27" s="15">
        <v>7.5</v>
      </c>
      <c r="E27" s="15">
        <f t="shared" si="12"/>
        <v>129.375</v>
      </c>
      <c r="F27" s="15">
        <v>6.3</v>
      </c>
      <c r="G27" s="15">
        <v>3.7</v>
      </c>
      <c r="H27" s="15">
        <f t="shared" si="13"/>
        <v>43.1235</v>
      </c>
      <c r="I27" s="15">
        <v>5.4</v>
      </c>
      <c r="J27" s="15">
        <v>7.5</v>
      </c>
      <c r="K27" s="15">
        <f t="shared" si="14"/>
        <v>151.875</v>
      </c>
      <c r="L27" s="15">
        <v>7.2</v>
      </c>
      <c r="M27" s="15">
        <v>4.5</v>
      </c>
      <c r="N27" s="15">
        <f t="shared" si="15"/>
        <v>72.899999999999991</v>
      </c>
      <c r="O27" s="15">
        <v>7.4</v>
      </c>
      <c r="P27" s="15">
        <v>4.7</v>
      </c>
      <c r="Q27" s="15">
        <f t="shared" si="16"/>
        <v>81.733000000000004</v>
      </c>
      <c r="R27" s="15">
        <v>4.7</v>
      </c>
      <c r="S27" s="15">
        <v>7.2</v>
      </c>
      <c r="T27" s="15">
        <f t="shared" si="17"/>
        <v>121.82400000000001</v>
      </c>
    </row>
    <row r="28" spans="1:21">
      <c r="A28" s="51"/>
      <c r="B28" s="51">
        <v>4</v>
      </c>
      <c r="C28" s="15">
        <v>5.7</v>
      </c>
      <c r="D28" s="15">
        <v>5.6</v>
      </c>
      <c r="E28" s="15">
        <f t="shared" si="12"/>
        <v>89.375999999999991</v>
      </c>
      <c r="F28" s="15">
        <v>7.4</v>
      </c>
      <c r="G28" s="15">
        <v>6.8</v>
      </c>
      <c r="H28" s="15">
        <f t="shared" si="13"/>
        <v>171.08799999999999</v>
      </c>
      <c r="I28" s="15">
        <v>6.7</v>
      </c>
      <c r="J28" s="15">
        <v>4.7</v>
      </c>
      <c r="K28" s="15">
        <f t="shared" si="14"/>
        <v>74.001500000000007</v>
      </c>
      <c r="L28" s="15">
        <v>6.3</v>
      </c>
      <c r="M28" s="15">
        <v>4.8</v>
      </c>
      <c r="N28" s="15">
        <f t="shared" si="15"/>
        <v>72.575999999999993</v>
      </c>
      <c r="O28" s="15">
        <v>6.4</v>
      </c>
      <c r="P28" s="15">
        <v>5.4</v>
      </c>
      <c r="Q28" s="15">
        <f t="shared" si="16"/>
        <v>93.312000000000012</v>
      </c>
      <c r="R28" s="15">
        <v>5.6</v>
      </c>
      <c r="S28" s="15">
        <v>4.7</v>
      </c>
      <c r="T28" s="15">
        <f t="shared" si="17"/>
        <v>61.852000000000004</v>
      </c>
    </row>
    <row r="29" spans="1:21">
      <c r="A29" s="51"/>
      <c r="B29" s="51">
        <v>5</v>
      </c>
      <c r="C29" s="15">
        <v>6.4</v>
      </c>
      <c r="D29" s="15">
        <v>7.7</v>
      </c>
      <c r="E29" s="15">
        <f t="shared" si="12"/>
        <v>189.72800000000001</v>
      </c>
      <c r="F29" s="15">
        <v>8.4</v>
      </c>
      <c r="G29" s="15">
        <v>6.7</v>
      </c>
      <c r="H29" s="15">
        <f t="shared" si="13"/>
        <v>188.53800000000001</v>
      </c>
      <c r="I29" s="15">
        <v>6.4</v>
      </c>
      <c r="J29" s="15">
        <v>4.7</v>
      </c>
      <c r="K29" s="15">
        <f t="shared" si="14"/>
        <v>70.688000000000002</v>
      </c>
      <c r="L29" s="15">
        <v>5.3</v>
      </c>
      <c r="M29" s="15">
        <v>5.7</v>
      </c>
      <c r="N29" s="15">
        <f t="shared" si="15"/>
        <v>86.098500000000001</v>
      </c>
      <c r="O29" s="15">
        <v>5.7</v>
      </c>
      <c r="P29" s="15">
        <v>8.5</v>
      </c>
      <c r="Q29" s="15">
        <f t="shared" si="16"/>
        <v>205.91250000000002</v>
      </c>
      <c r="R29" s="15">
        <v>6.3</v>
      </c>
      <c r="S29" s="15">
        <v>8.4</v>
      </c>
      <c r="T29" s="15">
        <f t="shared" si="17"/>
        <v>222.26400000000001</v>
      </c>
    </row>
    <row r="30" spans="1:21">
      <c r="A30" s="51"/>
      <c r="B30" s="51" t="s">
        <v>183</v>
      </c>
      <c r="E30" s="15">
        <f>AVERAGE(E25:E29)</f>
        <v>152.03440000000001</v>
      </c>
      <c r="F30" s="15"/>
      <c r="G30" s="15"/>
      <c r="H30" s="15">
        <f>AVERAGE(H25:H29)</f>
        <v>148.6123</v>
      </c>
      <c r="I30" s="15"/>
      <c r="J30" s="15"/>
      <c r="K30" s="15">
        <f>AVERAGE(K25:K29)</f>
        <v>113.54440000000002</v>
      </c>
      <c r="L30" s="15"/>
      <c r="M30" s="15"/>
      <c r="N30" s="15">
        <f>AVERAGE(N25:N29)</f>
        <v>91.834399999999988</v>
      </c>
      <c r="O30" s="15"/>
      <c r="P30" s="15"/>
      <c r="Q30" s="15">
        <f>AVERAGE(Q25:Q29)</f>
        <v>120.56179999999999</v>
      </c>
      <c r="R30" s="15"/>
      <c r="S30" s="15"/>
      <c r="T30" s="15">
        <f>AVERAGE(T25:T29)</f>
        <v>130.393</v>
      </c>
    </row>
    <row r="31" spans="1:21">
      <c r="A31" s="51"/>
      <c r="B31" s="51" t="s">
        <v>184</v>
      </c>
      <c r="E31" s="15">
        <f>STDEV(E25:E29)</f>
        <v>69.805195933397414</v>
      </c>
      <c r="F31" s="15"/>
      <c r="G31" s="15"/>
      <c r="H31" s="15">
        <f>STDEV(H25:H29)</f>
        <v>60.666569714711862</v>
      </c>
      <c r="I31" s="15"/>
      <c r="J31" s="15"/>
      <c r="K31" s="15">
        <f>STDEV(K25:K29)</f>
        <v>38.905986630273176</v>
      </c>
      <c r="L31" s="15"/>
      <c r="M31" s="15"/>
      <c r="N31" s="15">
        <f>STDEV(N25:N29)</f>
        <v>22.29674252945933</v>
      </c>
      <c r="O31" s="15"/>
      <c r="P31" s="15"/>
      <c r="Q31" s="15">
        <f>STDEV(Q25:Q29)</f>
        <v>49.360193084356993</v>
      </c>
      <c r="R31" s="15"/>
      <c r="S31" s="15"/>
      <c r="T31" s="15">
        <f>STDEV(T25:T29)</f>
        <v>61.560092032094943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workbookViewId="0">
      <selection activeCell="M14" sqref="M14"/>
    </sheetView>
  </sheetViews>
  <sheetFormatPr defaultColWidth="9" defaultRowHeight="15"/>
  <cols>
    <col min="1" max="1" width="3.7109375" style="15" customWidth="1"/>
    <col min="2" max="2" width="3" style="15" customWidth="1"/>
    <col min="3" max="3" width="20.140625" style="15" customWidth="1"/>
    <col min="4" max="4" width="17.5703125" style="15" customWidth="1"/>
    <col min="5" max="5" width="15.7109375" style="15" customWidth="1"/>
    <col min="6" max="6" width="13.28515625" style="15" customWidth="1"/>
    <col min="7" max="7" width="12.5703125" style="15" customWidth="1"/>
    <col min="8" max="8" width="13.42578125" style="15" customWidth="1"/>
    <col min="9" max="9" width="12.28515625" style="15" customWidth="1"/>
    <col min="10" max="10" width="13.140625" style="15" customWidth="1"/>
    <col min="11" max="16384" width="9" style="15"/>
  </cols>
  <sheetData>
    <row r="1" spans="1:10">
      <c r="A1" s="15" t="s">
        <v>412</v>
      </c>
    </row>
    <row r="2" spans="1:10" ht="18.75">
      <c r="A2" s="27" t="s">
        <v>165</v>
      </c>
    </row>
    <row r="3" spans="1:10" ht="18.75">
      <c r="A3" s="27"/>
      <c r="C3" s="14" t="s">
        <v>140</v>
      </c>
    </row>
    <row r="4" spans="1:10">
      <c r="B4" s="14" t="s">
        <v>141</v>
      </c>
      <c r="C4" s="14"/>
      <c r="D4" s="28" t="s">
        <v>142</v>
      </c>
      <c r="E4" s="28" t="s">
        <v>143</v>
      </c>
      <c r="F4" s="28" t="s">
        <v>144</v>
      </c>
      <c r="G4" s="28" t="s">
        <v>145</v>
      </c>
      <c r="H4" s="28" t="s">
        <v>146</v>
      </c>
      <c r="I4" s="28" t="s">
        <v>147</v>
      </c>
      <c r="J4" s="28" t="s">
        <v>148</v>
      </c>
    </row>
    <row r="5" spans="1:10">
      <c r="C5" s="14" t="s">
        <v>149</v>
      </c>
      <c r="D5" s="15">
        <v>21.46</v>
      </c>
      <c r="E5" s="15">
        <v>22.29</v>
      </c>
      <c r="F5" s="15">
        <v>24.86</v>
      </c>
      <c r="G5" s="15">
        <v>25.44</v>
      </c>
      <c r="H5" s="15">
        <v>25.66</v>
      </c>
      <c r="I5" s="15">
        <v>26.29</v>
      </c>
      <c r="J5" s="15">
        <v>26.29</v>
      </c>
    </row>
    <row r="6" spans="1:10">
      <c r="C6" s="14">
        <v>2</v>
      </c>
      <c r="D6" s="15">
        <v>21.11</v>
      </c>
      <c r="E6" s="15">
        <v>23.19</v>
      </c>
      <c r="F6" s="15">
        <v>23.68</v>
      </c>
      <c r="G6" s="15">
        <v>24.58</v>
      </c>
      <c r="H6" s="15">
        <v>24.93</v>
      </c>
      <c r="I6" s="15">
        <v>26.38</v>
      </c>
      <c r="J6" s="15">
        <v>26.33</v>
      </c>
    </row>
    <row r="7" spans="1:10">
      <c r="C7" s="14">
        <v>3</v>
      </c>
      <c r="D7" s="15">
        <v>22.86</v>
      </c>
      <c r="E7" s="15">
        <v>22.06</v>
      </c>
      <c r="F7" s="15">
        <v>24.39</v>
      </c>
      <c r="G7" s="15">
        <v>24.7</v>
      </c>
      <c r="H7" s="15">
        <v>25.23</v>
      </c>
      <c r="I7" s="15">
        <v>25.96</v>
      </c>
      <c r="J7" s="15">
        <v>26.46</v>
      </c>
    </row>
    <row r="8" spans="1:10">
      <c r="C8" s="14">
        <v>4</v>
      </c>
      <c r="D8" s="15">
        <v>21.14</v>
      </c>
      <c r="E8" s="15">
        <v>22.68</v>
      </c>
      <c r="F8" s="15">
        <v>24.31</v>
      </c>
      <c r="G8" s="15">
        <v>24.87</v>
      </c>
      <c r="H8" s="15">
        <v>25.68</v>
      </c>
      <c r="I8" s="15">
        <v>25.1</v>
      </c>
      <c r="J8" s="15">
        <v>26.12</v>
      </c>
    </row>
    <row r="9" spans="1:10">
      <c r="C9" s="14">
        <v>5</v>
      </c>
      <c r="D9" s="15">
        <v>20.32</v>
      </c>
      <c r="E9" s="15">
        <v>22.79</v>
      </c>
      <c r="F9" s="15">
        <v>23.68</v>
      </c>
      <c r="G9" s="15">
        <v>24.18</v>
      </c>
      <c r="H9" s="15">
        <v>24.19</v>
      </c>
      <c r="I9" s="15">
        <v>25.78</v>
      </c>
      <c r="J9" s="15">
        <v>25.48</v>
      </c>
    </row>
    <row r="10" spans="1:10">
      <c r="C10" s="14" t="s">
        <v>150</v>
      </c>
      <c r="D10" s="15">
        <f>AVERAGE(D5:D9)</f>
        <v>21.378000000000004</v>
      </c>
      <c r="E10" s="15">
        <f t="shared" ref="E10:J10" si="0">AVERAGE(E5:E9)</f>
        <v>22.601999999999997</v>
      </c>
      <c r="F10" s="15">
        <f t="shared" si="0"/>
        <v>24.184000000000005</v>
      </c>
      <c r="G10" s="15">
        <f t="shared" si="0"/>
        <v>24.754000000000001</v>
      </c>
      <c r="H10" s="15">
        <f t="shared" si="0"/>
        <v>25.137999999999998</v>
      </c>
      <c r="I10" s="15">
        <f t="shared" si="0"/>
        <v>25.901999999999997</v>
      </c>
      <c r="J10" s="15">
        <f t="shared" si="0"/>
        <v>26.136000000000003</v>
      </c>
    </row>
    <row r="11" spans="1:10">
      <c r="C11" s="14" t="s">
        <v>151</v>
      </c>
      <c r="D11" s="15">
        <f t="shared" ref="D11:J11" si="1">STDEV(D5:D9)</f>
        <v>0.9288272175167992</v>
      </c>
      <c r="E11" s="15">
        <f t="shared" si="1"/>
        <v>0.4411008954876432</v>
      </c>
      <c r="F11" s="15">
        <f t="shared" si="1"/>
        <v>0.5057964017270189</v>
      </c>
      <c r="G11" s="15">
        <f t="shared" si="1"/>
        <v>0.46008694830434038</v>
      </c>
      <c r="H11" s="15">
        <f t="shared" si="1"/>
        <v>0.61576781338423292</v>
      </c>
      <c r="I11" s="15">
        <f t="shared" si="1"/>
        <v>0.51001960746622177</v>
      </c>
      <c r="J11" s="15">
        <f t="shared" si="1"/>
        <v>0.38630298989264861</v>
      </c>
    </row>
    <row r="12" spans="1:10" ht="18.75">
      <c r="A12" s="27"/>
    </row>
    <row r="13" spans="1:10" ht="18.75">
      <c r="A13" s="27"/>
      <c r="C13" s="14"/>
    </row>
    <row r="14" spans="1:10">
      <c r="B14" s="14" t="s">
        <v>152</v>
      </c>
      <c r="C14" s="14"/>
      <c r="D14" s="28" t="s">
        <v>142</v>
      </c>
      <c r="E14" s="28" t="s">
        <v>143</v>
      </c>
      <c r="F14" s="28" t="s">
        <v>144</v>
      </c>
      <c r="G14" s="28" t="s">
        <v>145</v>
      </c>
      <c r="H14" s="28" t="s">
        <v>146</v>
      </c>
      <c r="I14" s="28" t="s">
        <v>147</v>
      </c>
      <c r="J14" s="28" t="s">
        <v>148</v>
      </c>
    </row>
    <row r="15" spans="1:10">
      <c r="C15" s="14" t="s">
        <v>203</v>
      </c>
      <c r="D15" s="15">
        <v>20.11</v>
      </c>
      <c r="E15" s="15">
        <v>20.86</v>
      </c>
      <c r="F15" s="15">
        <v>21.33</v>
      </c>
      <c r="G15" s="15">
        <v>23.58</v>
      </c>
      <c r="H15" s="15">
        <v>24.19</v>
      </c>
      <c r="I15" s="15">
        <v>24.68</v>
      </c>
      <c r="J15" s="15">
        <v>25.66</v>
      </c>
    </row>
    <row r="16" spans="1:10">
      <c r="C16" s="14">
        <v>2</v>
      </c>
      <c r="D16" s="15">
        <v>21.28</v>
      </c>
      <c r="E16" s="15">
        <v>21.66</v>
      </c>
      <c r="F16" s="15">
        <v>22.46</v>
      </c>
      <c r="G16" s="15">
        <v>23.12</v>
      </c>
      <c r="H16" s="15">
        <v>23.76</v>
      </c>
      <c r="I16" s="15">
        <v>24.32</v>
      </c>
      <c r="J16" s="15">
        <v>25.34</v>
      </c>
    </row>
    <row r="17" spans="3:12">
      <c r="C17" s="14">
        <v>3</v>
      </c>
      <c r="D17" s="15">
        <v>20.54</v>
      </c>
      <c r="E17" s="15">
        <v>21.25</v>
      </c>
      <c r="F17" s="15">
        <v>23.45</v>
      </c>
      <c r="G17" s="15">
        <v>24.51</v>
      </c>
      <c r="H17" s="15">
        <v>25.38</v>
      </c>
      <c r="I17" s="15">
        <v>25.93</v>
      </c>
      <c r="J17" s="15">
        <v>26.48</v>
      </c>
    </row>
    <row r="18" spans="3:12">
      <c r="C18" s="14">
        <v>4</v>
      </c>
      <c r="D18" s="15">
        <v>20.61</v>
      </c>
      <c r="E18" s="15">
        <v>20.48</v>
      </c>
      <c r="F18" s="15">
        <v>21.33</v>
      </c>
      <c r="G18" s="15">
        <v>21.68</v>
      </c>
      <c r="H18" s="15">
        <v>23.73</v>
      </c>
      <c r="I18" s="15">
        <v>23.18</v>
      </c>
      <c r="J18" s="15">
        <v>25.45</v>
      </c>
    </row>
    <row r="19" spans="3:12">
      <c r="C19" s="14">
        <v>5</v>
      </c>
      <c r="D19" s="15">
        <v>20.38</v>
      </c>
      <c r="E19" s="15">
        <v>21.23</v>
      </c>
      <c r="F19" s="15">
        <v>22.54</v>
      </c>
      <c r="G19" s="15">
        <v>24.72</v>
      </c>
      <c r="H19" s="15">
        <v>24.39</v>
      </c>
      <c r="I19" s="15">
        <v>25.48</v>
      </c>
      <c r="J19" s="15">
        <v>25.37</v>
      </c>
    </row>
    <row r="20" spans="3:12">
      <c r="C20" s="14" t="s">
        <v>150</v>
      </c>
      <c r="D20" s="15">
        <f t="shared" ref="D20:J20" si="2">AVERAGE(D15:D19)</f>
        <v>20.583999999999996</v>
      </c>
      <c r="E20" s="15">
        <f t="shared" si="2"/>
        <v>21.096</v>
      </c>
      <c r="F20" s="15">
        <f t="shared" si="2"/>
        <v>22.221999999999998</v>
      </c>
      <c r="G20" s="15">
        <f t="shared" si="2"/>
        <v>23.522000000000002</v>
      </c>
      <c r="H20" s="15">
        <f t="shared" si="2"/>
        <v>24.29</v>
      </c>
      <c r="I20" s="15">
        <f t="shared" si="2"/>
        <v>24.718000000000004</v>
      </c>
      <c r="J20" s="15">
        <f t="shared" si="2"/>
        <v>25.660000000000004</v>
      </c>
    </row>
    <row r="21" spans="3:12">
      <c r="C21" s="14" t="s">
        <v>151</v>
      </c>
      <c r="D21" s="15">
        <f t="shared" ref="D21:J21" si="3">STDEV(D15:D19)</f>
        <v>0.43397004504919529</v>
      </c>
      <c r="E21" s="15">
        <f t="shared" si="3"/>
        <v>0.4457914310526841</v>
      </c>
      <c r="F21" s="15">
        <f t="shared" si="3"/>
        <v>0.90236910408103022</v>
      </c>
      <c r="G21" s="15">
        <f t="shared" si="3"/>
        <v>1.2216055009699327</v>
      </c>
      <c r="H21" s="15">
        <f t="shared" si="3"/>
        <v>0.6713046998196861</v>
      </c>
      <c r="I21" s="15">
        <f t="shared" si="3"/>
        <v>1.0694484559809323</v>
      </c>
      <c r="J21" s="15">
        <f t="shared" si="3"/>
        <v>0.47513156072818413</v>
      </c>
    </row>
    <row r="23" spans="3:12">
      <c r="C23" s="14" t="s">
        <v>141</v>
      </c>
      <c r="D23" s="28" t="s">
        <v>148</v>
      </c>
      <c r="E23" s="29" t="s">
        <v>153</v>
      </c>
      <c r="F23" s="29" t="s">
        <v>154</v>
      </c>
      <c r="G23" s="29" t="s">
        <v>155</v>
      </c>
      <c r="H23" s="29" t="s">
        <v>156</v>
      </c>
      <c r="I23" s="29" t="s">
        <v>157</v>
      </c>
      <c r="J23" s="29" t="s">
        <v>158</v>
      </c>
    </row>
    <row r="24" spans="3:12">
      <c r="C24" s="14" t="s">
        <v>166</v>
      </c>
      <c r="D24" s="30">
        <v>20.54</v>
      </c>
      <c r="E24" s="30">
        <v>20.84</v>
      </c>
      <c r="F24" s="30">
        <v>21.53</v>
      </c>
      <c r="G24" s="30">
        <v>21.95</v>
      </c>
      <c r="H24" s="30">
        <v>22.39</v>
      </c>
      <c r="I24" s="30">
        <v>24.58</v>
      </c>
      <c r="J24" s="30">
        <v>25.83</v>
      </c>
    </row>
    <row r="25" spans="3:12">
      <c r="C25" s="14">
        <v>2</v>
      </c>
      <c r="D25" s="31">
        <v>21.28</v>
      </c>
      <c r="E25" s="31">
        <v>22.55</v>
      </c>
      <c r="F25" s="31">
        <v>22.87</v>
      </c>
      <c r="G25" s="31">
        <v>23.18</v>
      </c>
      <c r="H25" s="31">
        <v>23.66</v>
      </c>
      <c r="I25" s="31">
        <v>23.95</v>
      </c>
      <c r="J25" s="31">
        <v>25.43</v>
      </c>
    </row>
    <row r="26" spans="3:12">
      <c r="C26" s="14">
        <v>3</v>
      </c>
      <c r="D26" s="15">
        <v>20.329999999999998</v>
      </c>
      <c r="E26" s="15">
        <v>20.34</v>
      </c>
      <c r="F26" s="15">
        <v>21.53</v>
      </c>
      <c r="G26" s="15">
        <v>23.82</v>
      </c>
      <c r="H26" s="15">
        <v>23.96</v>
      </c>
      <c r="I26" s="15">
        <v>24.51</v>
      </c>
      <c r="J26" s="15">
        <v>26.28</v>
      </c>
    </row>
    <row r="27" spans="3:12">
      <c r="C27" s="14">
        <v>4</v>
      </c>
      <c r="D27" s="15">
        <v>20.74</v>
      </c>
      <c r="E27" s="15">
        <v>21.5</v>
      </c>
      <c r="F27" s="15">
        <v>22.51</v>
      </c>
      <c r="G27" s="15">
        <v>23.95</v>
      </c>
      <c r="H27" s="15">
        <v>23.11</v>
      </c>
      <c r="I27" s="15">
        <v>24.85</v>
      </c>
      <c r="J27" s="15">
        <v>25.63</v>
      </c>
    </row>
    <row r="28" spans="3:12">
      <c r="C28" s="14">
        <v>5</v>
      </c>
      <c r="D28" s="15">
        <v>21.39</v>
      </c>
      <c r="E28" s="15">
        <v>22.47</v>
      </c>
      <c r="F28" s="15">
        <v>22.68</v>
      </c>
      <c r="G28" s="15">
        <v>23.43</v>
      </c>
      <c r="H28" s="15">
        <v>24.58</v>
      </c>
      <c r="I28" s="15">
        <v>25.28</v>
      </c>
      <c r="J28" s="15">
        <v>25.86</v>
      </c>
      <c r="L28" s="32"/>
    </row>
    <row r="29" spans="3:12">
      <c r="C29" s="14" t="s">
        <v>150</v>
      </c>
      <c r="D29" s="15">
        <f t="shared" ref="D29:J29" si="4">AVERAGE(D23:D28)</f>
        <v>20.856000000000002</v>
      </c>
      <c r="E29" s="15">
        <f t="shared" si="4"/>
        <v>21.54</v>
      </c>
      <c r="F29" s="15">
        <f t="shared" si="4"/>
        <v>22.224</v>
      </c>
      <c r="G29" s="15">
        <f t="shared" si="4"/>
        <v>23.265999999999998</v>
      </c>
      <c r="H29" s="15">
        <f t="shared" si="4"/>
        <v>23.54</v>
      </c>
      <c r="I29" s="15">
        <f t="shared" si="4"/>
        <v>24.634000000000004</v>
      </c>
      <c r="J29" s="15">
        <f t="shared" si="4"/>
        <v>25.805999999999994</v>
      </c>
    </row>
    <row r="30" spans="3:12">
      <c r="C30" s="14" t="s">
        <v>151</v>
      </c>
      <c r="D30" s="15">
        <f t="shared" ref="D30:J30" si="5">STDEV(D23:D28)</f>
        <v>0.46230942019387955</v>
      </c>
      <c r="E30" s="15">
        <f t="shared" si="5"/>
        <v>0.97680601963747138</v>
      </c>
      <c r="F30" s="15">
        <f t="shared" si="5"/>
        <v>0.64620430205934076</v>
      </c>
      <c r="G30" s="15">
        <f t="shared" si="5"/>
        <v>0.79701317429513074</v>
      </c>
      <c r="H30" s="15">
        <f t="shared" si="5"/>
        <v>0.8336366114800855</v>
      </c>
      <c r="I30" s="15">
        <f t="shared" si="5"/>
        <v>0.48737049561909335</v>
      </c>
      <c r="J30" s="15">
        <f t="shared" si="5"/>
        <v>0.31643324730502065</v>
      </c>
    </row>
    <row r="32" spans="3:12">
      <c r="C32" s="14" t="s">
        <v>141</v>
      </c>
      <c r="D32" s="29" t="s">
        <v>158</v>
      </c>
      <c r="E32" s="29" t="s">
        <v>159</v>
      </c>
      <c r="F32" s="29" t="s">
        <v>160</v>
      </c>
      <c r="G32" s="29" t="s">
        <v>161</v>
      </c>
      <c r="H32" s="29" t="s">
        <v>162</v>
      </c>
      <c r="I32" s="29" t="s">
        <v>163</v>
      </c>
      <c r="J32" s="29" t="s">
        <v>164</v>
      </c>
    </row>
    <row r="33" spans="3:10">
      <c r="C33" s="14" t="s">
        <v>167</v>
      </c>
      <c r="D33" s="15">
        <v>20.48</v>
      </c>
      <c r="E33" s="15">
        <v>20.69</v>
      </c>
      <c r="F33" s="15">
        <v>21.38</v>
      </c>
      <c r="G33" s="15">
        <v>22.55</v>
      </c>
      <c r="H33" s="15">
        <v>23.59</v>
      </c>
      <c r="I33" s="15">
        <v>25.39</v>
      </c>
      <c r="J33" s="15">
        <v>26.46</v>
      </c>
    </row>
    <row r="34" spans="3:10">
      <c r="C34" s="14">
        <v>2</v>
      </c>
      <c r="D34" s="15">
        <v>20.190000000000001</v>
      </c>
      <c r="E34" s="15">
        <v>21.58</v>
      </c>
      <c r="F34" s="15">
        <v>22.83</v>
      </c>
      <c r="G34" s="15">
        <v>23.19</v>
      </c>
      <c r="H34" s="15">
        <v>24.75</v>
      </c>
      <c r="I34" s="15">
        <v>24.19</v>
      </c>
      <c r="J34" s="15">
        <v>25.28</v>
      </c>
    </row>
    <row r="35" spans="3:10">
      <c r="C35" s="14">
        <v>3</v>
      </c>
      <c r="D35" s="15">
        <v>20.32</v>
      </c>
      <c r="E35" s="15">
        <v>21.48</v>
      </c>
      <c r="F35" s="15">
        <v>22.11</v>
      </c>
      <c r="G35" s="15">
        <v>23.85</v>
      </c>
      <c r="H35" s="15">
        <v>24.68</v>
      </c>
      <c r="I35" s="15">
        <v>25.66</v>
      </c>
      <c r="J35" s="15">
        <v>26.38</v>
      </c>
    </row>
    <row r="36" spans="3:10">
      <c r="C36" s="14">
        <v>4</v>
      </c>
      <c r="D36" s="15">
        <v>20.170000000000002</v>
      </c>
      <c r="E36" s="15">
        <v>20.260000000000002</v>
      </c>
      <c r="F36" s="15">
        <v>22.54</v>
      </c>
      <c r="G36" s="15">
        <v>23.75</v>
      </c>
      <c r="H36" s="15">
        <v>24.29</v>
      </c>
      <c r="I36" s="15">
        <v>24.77</v>
      </c>
      <c r="J36" s="15">
        <v>25.68</v>
      </c>
    </row>
    <row r="37" spans="3:10">
      <c r="C37" s="14">
        <v>5</v>
      </c>
      <c r="D37" s="15">
        <v>21.48</v>
      </c>
      <c r="E37" s="15">
        <v>21.56</v>
      </c>
      <c r="F37" s="15">
        <v>23.96</v>
      </c>
      <c r="G37" s="15">
        <v>23.66</v>
      </c>
      <c r="H37" s="15">
        <v>24.58</v>
      </c>
      <c r="I37" s="15">
        <v>24.17</v>
      </c>
      <c r="J37" s="15">
        <v>25.72</v>
      </c>
    </row>
    <row r="38" spans="3:10">
      <c r="C38" s="14" t="s">
        <v>150</v>
      </c>
      <c r="D38" s="15">
        <f t="shared" ref="D38:J38" si="6">AVERAGE(D33:D37)</f>
        <v>20.527999999999999</v>
      </c>
      <c r="E38" s="15">
        <f t="shared" si="6"/>
        <v>21.114000000000001</v>
      </c>
      <c r="F38" s="15">
        <f t="shared" si="6"/>
        <v>22.564</v>
      </c>
      <c r="G38" s="15">
        <f t="shared" si="6"/>
        <v>23.4</v>
      </c>
      <c r="H38" s="15">
        <f t="shared" si="6"/>
        <v>24.378</v>
      </c>
      <c r="I38" s="15">
        <f t="shared" si="6"/>
        <v>24.835999999999999</v>
      </c>
      <c r="J38" s="15">
        <f t="shared" si="6"/>
        <v>25.904000000000003</v>
      </c>
    </row>
    <row r="39" spans="3:10">
      <c r="C39" s="14" t="s">
        <v>151</v>
      </c>
      <c r="D39" s="15">
        <f t="shared" ref="D39:J39" si="7">STDEV(D33:D37)</f>
        <v>0.5464155927496942</v>
      </c>
      <c r="E39" s="15">
        <f t="shared" si="7"/>
        <v>0.6039701979402613</v>
      </c>
      <c r="F39" s="15">
        <f t="shared" si="7"/>
        <v>0.95238122619043741</v>
      </c>
      <c r="G39" s="15">
        <f t="shared" si="7"/>
        <v>0.53833075334779068</v>
      </c>
      <c r="H39" s="15">
        <f t="shared" si="7"/>
        <v>0.47409914574907208</v>
      </c>
      <c r="I39" s="15">
        <f t="shared" si="7"/>
        <v>0.68027935438318221</v>
      </c>
      <c r="J39" s="15">
        <f t="shared" si="7"/>
        <v>0.50227482517044375</v>
      </c>
    </row>
    <row r="41" spans="3:10">
      <c r="C41" s="14"/>
    </row>
    <row r="42" spans="3:10">
      <c r="C42" s="14"/>
      <c r="D42" s="29"/>
      <c r="E42" s="29"/>
      <c r="F42" s="29"/>
      <c r="G42" s="29"/>
      <c r="H42" s="29"/>
      <c r="I42" s="29"/>
      <c r="J42" s="29"/>
    </row>
    <row r="43" spans="3:10">
      <c r="C43" s="14"/>
    </row>
    <row r="44" spans="3:10">
      <c r="C44" s="14"/>
    </row>
    <row r="45" spans="3:10">
      <c r="C45" s="14"/>
    </row>
    <row r="46" spans="3:10">
      <c r="C46" s="14"/>
    </row>
    <row r="47" spans="3:10">
      <c r="C47" s="14"/>
    </row>
    <row r="48" spans="3:10">
      <c r="C48" s="14"/>
    </row>
    <row r="49" spans="3:10">
      <c r="C49" s="14"/>
    </row>
    <row r="51" spans="3:10">
      <c r="C51" s="14"/>
      <c r="D51" s="29"/>
      <c r="E51" s="29"/>
      <c r="F51" s="29"/>
      <c r="G51" s="29"/>
      <c r="H51" s="29"/>
      <c r="I51" s="29"/>
      <c r="J51" s="29"/>
    </row>
    <row r="52" spans="3:10">
      <c r="C52" s="14"/>
    </row>
    <row r="53" spans="3:10">
      <c r="C53" s="14"/>
    </row>
    <row r="54" spans="3:10">
      <c r="C54" s="14"/>
    </row>
    <row r="55" spans="3:10">
      <c r="C55" s="14"/>
    </row>
    <row r="56" spans="3:10">
      <c r="C56" s="14"/>
    </row>
    <row r="57" spans="3:10">
      <c r="C57" s="14"/>
    </row>
    <row r="58" spans="3:10">
      <c r="C58" s="14"/>
    </row>
    <row r="60" spans="3:10">
      <c r="C60" s="14"/>
      <c r="D60" s="29"/>
      <c r="E60" s="29"/>
      <c r="F60" s="29"/>
      <c r="G60" s="29"/>
      <c r="H60" s="29"/>
      <c r="I60" s="29"/>
      <c r="J60" s="29"/>
    </row>
    <row r="61" spans="3:10">
      <c r="C61" s="33"/>
    </row>
    <row r="62" spans="3:10">
      <c r="C62" s="33"/>
    </row>
    <row r="63" spans="3:10">
      <c r="C63" s="33"/>
    </row>
    <row r="64" spans="3:10">
      <c r="C64" s="33"/>
    </row>
    <row r="65" spans="2:19">
      <c r="C65" s="33"/>
    </row>
    <row r="66" spans="2:19">
      <c r="C66" s="33"/>
    </row>
    <row r="67" spans="2:19">
      <c r="C67" s="33"/>
    </row>
    <row r="68" spans="2:19">
      <c r="C68" s="34"/>
    </row>
    <row r="69" spans="2:19">
      <c r="B69" s="35"/>
      <c r="C69" s="36"/>
      <c r="D69" s="36"/>
      <c r="E69" s="36"/>
      <c r="F69" s="36"/>
      <c r="G69" s="36"/>
      <c r="H69" s="36"/>
      <c r="I69" s="36"/>
      <c r="J69" s="36"/>
      <c r="K69" s="36"/>
      <c r="L69" s="37"/>
      <c r="M69" s="36"/>
      <c r="N69" s="36"/>
      <c r="O69" s="36"/>
      <c r="P69" s="36"/>
      <c r="Q69" s="36"/>
      <c r="R69" s="38"/>
    </row>
    <row r="70" spans="2:19">
      <c r="C70" s="39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1"/>
      <c r="S70" s="32"/>
    </row>
    <row r="71" spans="2:19">
      <c r="B71" s="42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1"/>
    </row>
    <row r="72" spans="2:19">
      <c r="B72" s="42"/>
      <c r="C72" s="39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1"/>
    </row>
    <row r="73" spans="2:19">
      <c r="B73" s="42"/>
      <c r="C73" s="40"/>
      <c r="D73" s="40"/>
      <c r="E73" s="40"/>
      <c r="F73" s="40"/>
      <c r="G73" s="40"/>
      <c r="H73" s="40"/>
      <c r="I73" s="40"/>
      <c r="J73" s="40"/>
      <c r="K73" s="40"/>
      <c r="L73" s="43"/>
      <c r="M73" s="40"/>
      <c r="N73" s="40"/>
      <c r="O73" s="40"/>
      <c r="P73" s="40"/>
      <c r="Q73" s="40"/>
      <c r="R73" s="41"/>
    </row>
    <row r="74" spans="2:19">
      <c r="B74" s="44"/>
      <c r="C74" s="39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1"/>
    </row>
    <row r="75" spans="2:19">
      <c r="B75" s="42"/>
      <c r="C75" s="39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1"/>
    </row>
    <row r="76" spans="2:19">
      <c r="B76" s="45"/>
      <c r="C76" s="46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8"/>
    </row>
    <row r="78" spans="2:19">
      <c r="C78" s="34"/>
    </row>
    <row r="79" spans="2:19">
      <c r="B79" s="49"/>
      <c r="C79" s="50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8"/>
    </row>
    <row r="80" spans="2:19">
      <c r="B80" s="42"/>
      <c r="C80" s="39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1"/>
    </row>
    <row r="81" spans="2:18">
      <c r="B81" s="42"/>
      <c r="C81" s="39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1"/>
    </row>
    <row r="82" spans="2:18">
      <c r="B82" s="42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1"/>
    </row>
    <row r="83" spans="2:18">
      <c r="B83" s="42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1"/>
    </row>
    <row r="84" spans="2:18">
      <c r="B84" s="44"/>
      <c r="C84" s="39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1"/>
    </row>
    <row r="85" spans="2:18">
      <c r="B85" s="42"/>
      <c r="C85" s="39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1"/>
    </row>
    <row r="86" spans="2:18">
      <c r="B86" s="45"/>
      <c r="C86" s="46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8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workbookViewId="0">
      <selection sqref="A1:XFD6"/>
    </sheetView>
  </sheetViews>
  <sheetFormatPr defaultRowHeight="15"/>
  <sheetData>
    <row r="1" spans="1:21">
      <c r="A1" t="s">
        <v>413</v>
      </c>
    </row>
    <row r="2" spans="1:21">
      <c r="A2" s="75" t="s">
        <v>140</v>
      </c>
      <c r="B2" s="75"/>
      <c r="C2" s="75"/>
      <c r="D2" s="75"/>
      <c r="E2" s="75"/>
      <c r="F2" s="75"/>
      <c r="G2" s="75" t="s">
        <v>199</v>
      </c>
      <c r="H2" s="75"/>
      <c r="I2" s="75"/>
      <c r="J2" s="75"/>
      <c r="K2" s="75"/>
      <c r="L2" s="75" t="s">
        <v>200</v>
      </c>
      <c r="M2" s="75"/>
      <c r="N2" s="75"/>
      <c r="O2" s="75"/>
      <c r="P2" s="75"/>
      <c r="Q2" s="75" t="s">
        <v>201</v>
      </c>
      <c r="R2" s="75"/>
      <c r="S2" s="75"/>
      <c r="T2" s="75"/>
      <c r="U2" s="75"/>
    </row>
    <row r="3" spans="1:21">
      <c r="B3" s="51" t="s">
        <v>168</v>
      </c>
      <c r="C3">
        <v>2</v>
      </c>
      <c r="D3">
        <v>3</v>
      </c>
      <c r="E3">
        <v>4</v>
      </c>
      <c r="F3">
        <v>5</v>
      </c>
      <c r="G3" s="51" t="s">
        <v>168</v>
      </c>
      <c r="H3">
        <v>2</v>
      </c>
      <c r="I3">
        <v>3</v>
      </c>
      <c r="J3">
        <v>4</v>
      </c>
      <c r="K3">
        <v>5</v>
      </c>
      <c r="L3" s="51" t="s">
        <v>168</v>
      </c>
      <c r="M3">
        <v>2</v>
      </c>
      <c r="N3">
        <v>3</v>
      </c>
      <c r="O3">
        <v>4</v>
      </c>
      <c r="P3">
        <v>5</v>
      </c>
      <c r="Q3" s="51" t="s">
        <v>168</v>
      </c>
      <c r="R3">
        <v>2</v>
      </c>
      <c r="S3">
        <v>3</v>
      </c>
      <c r="T3">
        <v>4</v>
      </c>
      <c r="U3">
        <v>5</v>
      </c>
    </row>
    <row r="4" spans="1:21">
      <c r="A4" s="52" t="s">
        <v>169</v>
      </c>
      <c r="B4">
        <v>0.17399999999999999</v>
      </c>
      <c r="C4">
        <v>0.217</v>
      </c>
      <c r="D4">
        <v>5.8000000000000003E-2</v>
      </c>
      <c r="E4">
        <v>9.8000000000000004E-2</v>
      </c>
      <c r="F4">
        <v>0.17299999999999999</v>
      </c>
      <c r="G4">
        <v>0.78800000000000003</v>
      </c>
      <c r="H4">
        <v>0.71799999999999997</v>
      </c>
      <c r="I4">
        <v>0.85199999999999998</v>
      </c>
      <c r="J4">
        <v>0.76800000000000002</v>
      </c>
      <c r="K4">
        <v>0.86199999999999999</v>
      </c>
      <c r="L4">
        <v>0.66800000000000004</v>
      </c>
      <c r="M4">
        <v>0.73799999999999999</v>
      </c>
      <c r="N4">
        <v>0.59399999999999997</v>
      </c>
      <c r="O4">
        <v>0.71799999999999997</v>
      </c>
      <c r="P4">
        <v>0.69399999999999995</v>
      </c>
      <c r="Q4">
        <v>0.78300000000000003</v>
      </c>
      <c r="R4">
        <v>0.86599999999999999</v>
      </c>
      <c r="S4">
        <v>0.82299999999999995</v>
      </c>
      <c r="T4">
        <v>0.85699999999999998</v>
      </c>
      <c r="U4">
        <v>0.47899999999999998</v>
      </c>
    </row>
    <row r="5" spans="1:21">
      <c r="A5" s="52" t="s">
        <v>170</v>
      </c>
      <c r="B5">
        <v>6.8000000000000005E-2</v>
      </c>
      <c r="C5">
        <v>0.115</v>
      </c>
      <c r="D5">
        <v>0.28100000000000003</v>
      </c>
      <c r="E5">
        <v>0.217</v>
      </c>
      <c r="F5">
        <v>0.19400000000000001</v>
      </c>
      <c r="G5">
        <v>0.48599999999999999</v>
      </c>
      <c r="H5">
        <v>0.82199999999999995</v>
      </c>
      <c r="I5">
        <v>0.83499999999999996</v>
      </c>
      <c r="J5">
        <v>0.67800000000000005</v>
      </c>
      <c r="K5">
        <v>0.83299999999999996</v>
      </c>
      <c r="L5">
        <v>0.67300000000000004</v>
      </c>
      <c r="M5">
        <v>0.76100000000000001</v>
      </c>
      <c r="N5">
        <v>0.66800000000000004</v>
      </c>
      <c r="O5">
        <v>0.68700000000000006</v>
      </c>
      <c r="P5">
        <v>0.82199999999999995</v>
      </c>
      <c r="Q5">
        <v>0.76800000000000002</v>
      </c>
      <c r="R5">
        <v>0.68700000000000006</v>
      </c>
      <c r="S5">
        <v>0.877</v>
      </c>
      <c r="T5">
        <v>0.67800000000000005</v>
      </c>
      <c r="U5">
        <v>0.73899999999999999</v>
      </c>
    </row>
    <row r="6" spans="1:21">
      <c r="A6" s="52" t="s">
        <v>171</v>
      </c>
      <c r="B6">
        <v>0.86899999999999999</v>
      </c>
      <c r="C6">
        <v>0.68400000000000005</v>
      </c>
      <c r="D6">
        <v>0.876</v>
      </c>
      <c r="E6">
        <v>0.88600000000000001</v>
      </c>
      <c r="F6">
        <v>0.78400000000000003</v>
      </c>
      <c r="G6">
        <v>8.2000000000000003E-2</v>
      </c>
      <c r="H6">
        <v>0.13700000000000001</v>
      </c>
      <c r="I6">
        <v>0.128</v>
      </c>
      <c r="J6">
        <v>5.8000000000000003E-2</v>
      </c>
      <c r="K6">
        <v>5.5E-2</v>
      </c>
      <c r="L6">
        <v>8.5000000000000006E-2</v>
      </c>
      <c r="M6">
        <v>1.7999999999999999E-2</v>
      </c>
      <c r="N6">
        <v>5.8000000000000003E-2</v>
      </c>
      <c r="O6">
        <v>1.4999999999999999E-2</v>
      </c>
      <c r="P6">
        <v>5.8000000000000003E-2</v>
      </c>
      <c r="Q6">
        <v>5.7000000000000002E-2</v>
      </c>
      <c r="R6">
        <v>6.0999999999999999E-2</v>
      </c>
      <c r="S6">
        <v>0.14399999999999999</v>
      </c>
      <c r="T6">
        <v>0.121</v>
      </c>
      <c r="U6">
        <v>0.112</v>
      </c>
    </row>
    <row r="8" spans="1:21">
      <c r="A8" s="51"/>
    </row>
    <row r="14" spans="1:21">
      <c r="A14" s="51"/>
    </row>
    <row r="20" spans="1:1">
      <c r="A20" s="51"/>
    </row>
    <row r="26" spans="1:1">
      <c r="A26" s="51"/>
    </row>
    <row r="34" spans="1:1">
      <c r="A34" s="51"/>
    </row>
  </sheetData>
  <mergeCells count="4">
    <mergeCell ref="G2:K2"/>
    <mergeCell ref="L2:P2"/>
    <mergeCell ref="Q2:U2"/>
    <mergeCell ref="A2:F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1"/>
  <sheetViews>
    <sheetView topLeftCell="A22" zoomScale="64" zoomScaleNormal="64" workbookViewId="0">
      <selection activeCell="B41" sqref="B41:J49"/>
    </sheetView>
  </sheetViews>
  <sheetFormatPr defaultRowHeight="15"/>
  <cols>
    <col min="1" max="1" width="23.7109375" customWidth="1"/>
    <col min="2" max="2" width="26.85546875" customWidth="1"/>
    <col min="6" max="6" width="12.140625" customWidth="1"/>
    <col min="7" max="7" width="16.7109375" customWidth="1"/>
    <col min="8" max="8" width="16.28515625" customWidth="1"/>
    <col min="9" max="9" width="18.85546875" customWidth="1"/>
    <col min="10" max="10" width="18.140625" style="63" customWidth="1"/>
    <col min="11" max="11" width="12.7109375" customWidth="1"/>
    <col min="12" max="12" width="11.85546875" customWidth="1"/>
    <col min="44" max="44" width="12" customWidth="1"/>
  </cols>
  <sheetData>
    <row r="1" spans="1:47">
      <c r="A1" t="s">
        <v>416</v>
      </c>
    </row>
    <row r="2" spans="1:47" s="55" customFormat="1">
      <c r="B2" s="77" t="s">
        <v>359</v>
      </c>
      <c r="C2" s="78" t="s">
        <v>438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U2" s="77" t="s">
        <v>437</v>
      </c>
    </row>
    <row r="3" spans="1:47" s="55" customFormat="1">
      <c r="A3" s="79"/>
      <c r="B3" s="79"/>
      <c r="C3" s="79" t="s">
        <v>321</v>
      </c>
      <c r="D3" s="79" t="s">
        <v>322</v>
      </c>
      <c r="E3" s="80" t="s">
        <v>323</v>
      </c>
      <c r="F3" s="80">
        <v>42410</v>
      </c>
      <c r="G3" s="80">
        <v>42470</v>
      </c>
      <c r="H3" s="80">
        <v>42531</v>
      </c>
      <c r="I3" s="80">
        <v>42592</v>
      </c>
      <c r="J3" s="80">
        <v>42623</v>
      </c>
      <c r="K3" s="80">
        <v>42653</v>
      </c>
      <c r="L3" s="80">
        <v>42714</v>
      </c>
      <c r="M3" s="79" t="s">
        <v>324</v>
      </c>
      <c r="N3" s="79" t="s">
        <v>325</v>
      </c>
      <c r="O3" s="79" t="s">
        <v>326</v>
      </c>
      <c r="P3" s="79" t="s">
        <v>327</v>
      </c>
      <c r="Q3" s="79" t="s">
        <v>328</v>
      </c>
      <c r="R3" s="79" t="s">
        <v>329</v>
      </c>
      <c r="S3" s="79" t="s">
        <v>330</v>
      </c>
      <c r="T3" s="80" t="s">
        <v>331</v>
      </c>
      <c r="U3" s="80" t="s">
        <v>332</v>
      </c>
      <c r="V3" s="80" t="s">
        <v>333</v>
      </c>
      <c r="W3" s="80" t="s">
        <v>334</v>
      </c>
      <c r="X3" s="80">
        <v>42411</v>
      </c>
      <c r="Y3" s="80">
        <v>42471</v>
      </c>
      <c r="Z3" s="80">
        <v>42532</v>
      </c>
      <c r="AA3" s="80">
        <v>42593</v>
      </c>
      <c r="AB3" s="80">
        <v>42654</v>
      </c>
      <c r="AC3" s="80">
        <v>42715</v>
      </c>
      <c r="AD3" s="80" t="s">
        <v>335</v>
      </c>
      <c r="AE3" s="80" t="s">
        <v>336</v>
      </c>
      <c r="AF3" s="80" t="s">
        <v>337</v>
      </c>
      <c r="AG3" s="80" t="s">
        <v>338</v>
      </c>
      <c r="AH3" s="80" t="s">
        <v>339</v>
      </c>
      <c r="AI3" s="80" t="s">
        <v>340</v>
      </c>
      <c r="AJ3" s="80" t="s">
        <v>341</v>
      </c>
      <c r="AK3" s="80" t="s">
        <v>342</v>
      </c>
      <c r="AL3" s="80" t="s">
        <v>343</v>
      </c>
      <c r="AM3" s="80">
        <v>42412</v>
      </c>
      <c r="AN3" s="80">
        <v>42472</v>
      </c>
      <c r="AO3" s="80">
        <v>42533</v>
      </c>
    </row>
    <row r="4" spans="1:47" s="55" customFormat="1">
      <c r="A4" s="81"/>
      <c r="C4" s="82" t="s">
        <v>358</v>
      </c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R4" s="81" t="s">
        <v>356</v>
      </c>
      <c r="AS4" s="81" t="s">
        <v>355</v>
      </c>
      <c r="AU4" s="81" t="s">
        <v>357</v>
      </c>
    </row>
    <row r="5" spans="1:47" s="55" customFormat="1">
      <c r="A5" s="83" t="s">
        <v>354</v>
      </c>
      <c r="B5" s="77" t="s">
        <v>344</v>
      </c>
      <c r="C5" s="55">
        <v>2.66</v>
      </c>
      <c r="D5" s="55">
        <v>6.0350000000000001</v>
      </c>
      <c r="E5" s="55">
        <v>6.7050000000000001</v>
      </c>
      <c r="F5" s="55">
        <v>5.0039999999999996</v>
      </c>
      <c r="G5" s="55">
        <v>4.2089999999999996</v>
      </c>
      <c r="H5" s="55">
        <v>8.9429999999999996</v>
      </c>
      <c r="I5" s="84">
        <v>4.58</v>
      </c>
      <c r="J5" s="55">
        <v>2.496</v>
      </c>
      <c r="K5" s="55">
        <v>9.8490000000000002</v>
      </c>
      <c r="L5" s="55">
        <v>8.6869999999999994</v>
      </c>
      <c r="M5" s="55">
        <v>9.4860000000000007</v>
      </c>
      <c r="N5" s="55">
        <v>7.9690000000000003</v>
      </c>
      <c r="O5" s="55">
        <v>6.694</v>
      </c>
      <c r="P5" s="55">
        <v>7.3849999999999998</v>
      </c>
      <c r="Q5" s="55">
        <v>8.9849999999999994</v>
      </c>
      <c r="R5" s="55">
        <v>7.96</v>
      </c>
      <c r="S5" s="55">
        <v>5.97</v>
      </c>
      <c r="T5" s="55">
        <v>5.2830000000000004</v>
      </c>
      <c r="U5" s="55">
        <v>7.2489999999999997</v>
      </c>
      <c r="V5" s="55">
        <v>9.68</v>
      </c>
      <c r="W5" s="55">
        <v>5.843</v>
      </c>
      <c r="X5" s="55">
        <v>8.1839999999999993</v>
      </c>
      <c r="Y5" s="55">
        <v>8.1980000000000004</v>
      </c>
      <c r="Z5" s="55">
        <v>5.19</v>
      </c>
      <c r="AA5" s="55">
        <v>7.2990000000000004</v>
      </c>
      <c r="AB5" s="55">
        <v>9.2850000000000001</v>
      </c>
      <c r="AC5" s="55">
        <v>3.2949999999999999</v>
      </c>
      <c r="AD5" s="55">
        <v>6.39</v>
      </c>
      <c r="AE5" s="55">
        <v>7.3949999999999996</v>
      </c>
      <c r="AF5" s="55">
        <v>6.7939999999999996</v>
      </c>
      <c r="AG5" s="55">
        <v>9.39</v>
      </c>
      <c r="AH5" s="55">
        <v>9.3490000000000002</v>
      </c>
      <c r="AI5" s="55">
        <v>7.2939999999999996</v>
      </c>
      <c r="AJ5" s="55">
        <v>6.694</v>
      </c>
      <c r="AK5" s="55">
        <v>6.2939999999999996</v>
      </c>
      <c r="AL5" s="55">
        <v>9.2949999999999999</v>
      </c>
      <c r="AM5" s="55">
        <v>7.3949999999999996</v>
      </c>
      <c r="AN5" s="55">
        <v>8.859</v>
      </c>
      <c r="AO5" s="55">
        <v>6.2949999999999999</v>
      </c>
      <c r="AR5" s="55">
        <f>AVERAGE(C5:AP5)</f>
        <v>7.0401794871794863</v>
      </c>
      <c r="AS5" s="55">
        <f>STDEV(C5:AP5)</f>
        <v>1.9484517453041255</v>
      </c>
      <c r="AU5" s="55">
        <f>AR5*0.005/2</f>
        <v>1.7600448717948716E-2</v>
      </c>
    </row>
    <row r="6" spans="1:47" s="55" customFormat="1">
      <c r="A6" s="85"/>
      <c r="B6" s="77" t="s">
        <v>345</v>
      </c>
      <c r="C6" s="55">
        <v>4.4690000000000003</v>
      </c>
      <c r="D6" s="55">
        <v>5.59</v>
      </c>
      <c r="E6" s="55">
        <v>3.5070000000000001</v>
      </c>
      <c r="F6" s="55">
        <v>7.0590000000000002</v>
      </c>
      <c r="G6" s="55">
        <v>7.359</v>
      </c>
      <c r="H6" s="55">
        <v>6.29</v>
      </c>
      <c r="I6" s="84">
        <v>5.8490000000000002</v>
      </c>
      <c r="J6" s="55">
        <v>4.7839999999999998</v>
      </c>
      <c r="K6" s="55">
        <v>7.95</v>
      </c>
      <c r="L6" s="55">
        <v>8.3949999999999996</v>
      </c>
      <c r="M6" s="55">
        <v>7.5970000000000004</v>
      </c>
      <c r="N6" s="55">
        <v>6.5789999999999997</v>
      </c>
      <c r="O6" s="55">
        <v>5.569</v>
      </c>
      <c r="P6" s="55">
        <v>7.7949999999999999</v>
      </c>
      <c r="Q6" s="55">
        <v>8.2949999999999999</v>
      </c>
      <c r="R6" s="55">
        <v>9.3049999999999997</v>
      </c>
      <c r="S6" s="55">
        <v>6.3390000000000004</v>
      </c>
      <c r="T6" s="55">
        <v>5.69</v>
      </c>
      <c r="U6" s="55">
        <v>8.4689999999999994</v>
      </c>
      <c r="V6" s="55">
        <v>7.3959999999999999</v>
      </c>
      <c r="W6" s="55">
        <v>8.3949999999999996</v>
      </c>
      <c r="X6" s="55">
        <v>3.0649999999999999</v>
      </c>
      <c r="Y6" s="55">
        <v>2.44</v>
      </c>
      <c r="Z6" s="55">
        <v>7.4950000000000001</v>
      </c>
      <c r="AA6" s="55">
        <v>5.694</v>
      </c>
      <c r="AB6" s="55">
        <v>9.4960000000000004</v>
      </c>
      <c r="AC6" s="55">
        <v>4.5960000000000001</v>
      </c>
      <c r="AD6" s="55">
        <v>7.9710000000000001</v>
      </c>
      <c r="AE6" s="55">
        <v>2.0670000000000002</v>
      </c>
      <c r="AF6" s="55">
        <v>6.0490000000000004</v>
      </c>
      <c r="AG6" s="55">
        <v>8.9580000000000002</v>
      </c>
      <c r="AH6" s="55">
        <v>8.4949999999999992</v>
      </c>
      <c r="AI6" s="55">
        <v>6.774</v>
      </c>
      <c r="AJ6" s="55">
        <v>4.569</v>
      </c>
      <c r="AK6" s="55">
        <v>7.94</v>
      </c>
      <c r="AL6" s="55">
        <v>5.9779999999999998</v>
      </c>
      <c r="AM6" s="55">
        <v>4.4960000000000004</v>
      </c>
      <c r="AN6" s="55">
        <v>8.2940000000000005</v>
      </c>
      <c r="AO6" s="55">
        <v>6.79</v>
      </c>
      <c r="AR6" s="55">
        <f t="shared" ref="AR6:AR14" si="0">AVERAGE(C6:AP6)</f>
        <v>6.508923076923077</v>
      </c>
      <c r="AS6" s="55">
        <f t="shared" ref="AS6:AS14" si="1">STDEV(C6:AP6)</f>
        <v>1.8910695161679665</v>
      </c>
      <c r="AU6" s="55">
        <f t="shared" ref="AU6:AU14" si="2">AR6*0.005/2</f>
        <v>1.6272307692307694E-2</v>
      </c>
    </row>
    <row r="7" spans="1:47" s="55" customFormat="1">
      <c r="A7" s="85"/>
      <c r="B7" s="77" t="s">
        <v>346</v>
      </c>
      <c r="C7" s="55">
        <v>10.39</v>
      </c>
      <c r="D7" s="55">
        <v>12.39</v>
      </c>
      <c r="E7" s="55">
        <v>6.7</v>
      </c>
      <c r="F7" s="55">
        <v>6.49</v>
      </c>
      <c r="G7" s="55">
        <v>7.95</v>
      </c>
      <c r="H7" s="55">
        <v>6.3</v>
      </c>
      <c r="I7" s="84">
        <v>5.79</v>
      </c>
      <c r="J7" s="55">
        <v>2.0089999999999999</v>
      </c>
      <c r="K7" s="55">
        <v>3.49</v>
      </c>
      <c r="L7" s="55">
        <v>6.49</v>
      </c>
      <c r="M7" s="55">
        <v>8.4960000000000004</v>
      </c>
      <c r="N7" s="55">
        <v>5.49</v>
      </c>
      <c r="O7" s="55">
        <v>8.4960000000000004</v>
      </c>
      <c r="P7" s="55">
        <v>8.52</v>
      </c>
      <c r="Q7" s="55">
        <v>8.11</v>
      </c>
      <c r="R7" s="55">
        <v>8.7799999999999994</v>
      </c>
      <c r="S7" s="55">
        <v>8.98</v>
      </c>
      <c r="T7" s="55">
        <v>7.32</v>
      </c>
      <c r="U7" s="55">
        <v>6.45</v>
      </c>
      <c r="V7" s="55">
        <v>6.98</v>
      </c>
      <c r="W7" s="55">
        <v>6.45</v>
      </c>
      <c r="X7" s="55">
        <v>9.2539999999999996</v>
      </c>
      <c r="Y7" s="55">
        <v>8.65</v>
      </c>
      <c r="Z7" s="55">
        <v>7.45</v>
      </c>
      <c r="AA7" s="55">
        <v>8.66</v>
      </c>
      <c r="AB7" s="55">
        <v>8.15</v>
      </c>
      <c r="AC7" s="55">
        <v>7.65</v>
      </c>
      <c r="AD7" s="55">
        <v>8.4499999999999993</v>
      </c>
      <c r="AE7" s="55">
        <v>10.47</v>
      </c>
      <c r="AF7" s="55">
        <v>6.35</v>
      </c>
      <c r="AG7" s="55">
        <v>7.4539999999999997</v>
      </c>
      <c r="AH7" s="55">
        <v>8.65</v>
      </c>
      <c r="AI7" s="55">
        <v>7.69</v>
      </c>
      <c r="AJ7" s="55">
        <v>8.9600000000000009</v>
      </c>
      <c r="AK7" s="55">
        <v>8.4499999999999993</v>
      </c>
      <c r="AL7" s="55">
        <v>7.55</v>
      </c>
      <c r="AM7" s="55">
        <v>9.4499999999999993</v>
      </c>
      <c r="AN7" s="55">
        <v>9.6539999999999999</v>
      </c>
      <c r="AO7" s="55">
        <v>9.5399999999999991</v>
      </c>
      <c r="AR7" s="55">
        <f t="shared" si="0"/>
        <v>7.8090512820512803</v>
      </c>
      <c r="AS7" s="55">
        <f t="shared" si="1"/>
        <v>1.849819094266105</v>
      </c>
      <c r="AU7" s="55">
        <f t="shared" si="2"/>
        <v>1.9522628205128203E-2</v>
      </c>
    </row>
    <row r="8" spans="1:47" s="55" customFormat="1">
      <c r="A8" s="85"/>
      <c r="B8" s="77" t="s">
        <v>347</v>
      </c>
      <c r="C8" s="55">
        <v>2.66</v>
      </c>
      <c r="D8" s="55">
        <v>4.6500000000000004</v>
      </c>
      <c r="E8" s="55">
        <v>3.14</v>
      </c>
      <c r="F8" s="55">
        <v>6.32</v>
      </c>
      <c r="G8" s="55">
        <v>4.12</v>
      </c>
      <c r="H8" s="55">
        <v>5.21</v>
      </c>
      <c r="I8" s="84">
        <v>4.0250000000000004</v>
      </c>
      <c r="J8" s="55">
        <v>4.9800000000000004</v>
      </c>
      <c r="K8" s="55">
        <v>4.01</v>
      </c>
      <c r="L8" s="55">
        <v>4.7699999999999996</v>
      </c>
      <c r="M8" s="55">
        <v>4.95</v>
      </c>
      <c r="N8" s="55">
        <v>7.65</v>
      </c>
      <c r="O8" s="55">
        <v>6.4539999999999997</v>
      </c>
      <c r="P8" s="55">
        <v>8.52</v>
      </c>
      <c r="Q8" s="55">
        <v>8.11</v>
      </c>
      <c r="R8" s="55">
        <v>8.7799999999999994</v>
      </c>
      <c r="S8" s="55">
        <v>8.98</v>
      </c>
      <c r="T8" s="55">
        <v>7.32</v>
      </c>
      <c r="U8" s="55">
        <v>6.45</v>
      </c>
      <c r="V8" s="55">
        <v>6.98</v>
      </c>
      <c r="W8" s="55">
        <v>6.45</v>
      </c>
      <c r="X8" s="55">
        <v>9.2539999999999996</v>
      </c>
      <c r="Y8" s="55">
        <v>8.65</v>
      </c>
      <c r="Z8" s="55">
        <v>7.45</v>
      </c>
      <c r="AA8" s="55">
        <v>8.66</v>
      </c>
      <c r="AB8" s="55">
        <v>8.15</v>
      </c>
      <c r="AC8" s="55">
        <v>7.65</v>
      </c>
      <c r="AD8" s="55">
        <v>8.4499999999999993</v>
      </c>
      <c r="AE8" s="55">
        <v>10.47</v>
      </c>
      <c r="AF8" s="55">
        <v>6.35</v>
      </c>
      <c r="AG8" s="55">
        <v>7.4539999999999997</v>
      </c>
      <c r="AH8" s="55">
        <v>8.65</v>
      </c>
      <c r="AI8" s="55">
        <v>7.69</v>
      </c>
      <c r="AJ8" s="55">
        <v>8.9600000000000009</v>
      </c>
      <c r="AK8" s="55">
        <v>8.4499999999999993</v>
      </c>
      <c r="AL8" s="55">
        <v>7.55</v>
      </c>
      <c r="AM8" s="55">
        <v>9.4499999999999993</v>
      </c>
      <c r="AN8" s="55">
        <v>9.6539999999999999</v>
      </c>
      <c r="AO8" s="55">
        <v>9.5399999999999991</v>
      </c>
      <c r="AR8" s="55">
        <f t="shared" si="0"/>
        <v>7.102846153846154</v>
      </c>
      <c r="AS8" s="55">
        <f t="shared" si="1"/>
        <v>1.9876822860923542</v>
      </c>
      <c r="AU8" s="55">
        <f t="shared" si="2"/>
        <v>1.7757115384615385E-2</v>
      </c>
    </row>
    <row r="9" spans="1:47" s="55" customFormat="1">
      <c r="A9" s="85"/>
      <c r="B9" s="77" t="s">
        <v>348</v>
      </c>
      <c r="C9" s="55">
        <v>6.96</v>
      </c>
      <c r="D9" s="55">
        <v>5.6</v>
      </c>
      <c r="E9" s="55">
        <v>8.4949999999999992</v>
      </c>
      <c r="F9" s="55">
        <v>6.7</v>
      </c>
      <c r="G9" s="55">
        <v>10.93</v>
      </c>
      <c r="H9" s="55">
        <v>11.439</v>
      </c>
      <c r="I9" s="84">
        <v>4.3049999999999997</v>
      </c>
      <c r="J9" s="55">
        <v>8.4689999999999994</v>
      </c>
      <c r="K9" s="55">
        <v>5.67</v>
      </c>
      <c r="L9" s="55">
        <v>2.7</v>
      </c>
      <c r="M9" s="55">
        <v>8.06</v>
      </c>
      <c r="N9" s="55">
        <v>9.5960000000000001</v>
      </c>
      <c r="O9" s="55">
        <v>10.39</v>
      </c>
      <c r="P9" s="55">
        <v>11.964</v>
      </c>
      <c r="Q9" s="55">
        <v>12.298999999999999</v>
      </c>
      <c r="R9" s="55">
        <v>12.5</v>
      </c>
      <c r="S9" s="55">
        <v>11.06</v>
      </c>
      <c r="T9" s="55">
        <v>10.894</v>
      </c>
      <c r="U9" s="55">
        <v>10.933</v>
      </c>
      <c r="V9" s="55">
        <v>11.395</v>
      </c>
      <c r="W9" s="55">
        <v>10.458</v>
      </c>
      <c r="X9" s="55">
        <v>6.39</v>
      </c>
      <c r="Y9" s="55">
        <v>7.4950000000000001</v>
      </c>
      <c r="Z9" s="55">
        <v>6.3949999999999996</v>
      </c>
      <c r="AA9" s="55">
        <v>8.9339999999999993</v>
      </c>
      <c r="AB9" s="55">
        <v>5.0970000000000004</v>
      </c>
      <c r="AC9" s="55">
        <v>10.49</v>
      </c>
      <c r="AD9" s="55">
        <v>11.295</v>
      </c>
      <c r="AE9" s="55">
        <v>15.39</v>
      </c>
      <c r="AF9" s="55">
        <v>10.94</v>
      </c>
      <c r="AG9" s="55">
        <v>10.228999999999999</v>
      </c>
      <c r="AH9" s="55">
        <v>6.49</v>
      </c>
      <c r="AI9" s="55">
        <v>8.43</v>
      </c>
      <c r="AJ9" s="55">
        <v>5.66</v>
      </c>
      <c r="AK9" s="55">
        <v>6.9790000000000001</v>
      </c>
      <c r="AL9" s="55">
        <v>7.96</v>
      </c>
      <c r="AM9" s="55">
        <v>5.69</v>
      </c>
      <c r="AN9" s="55">
        <v>8.3800000000000008</v>
      </c>
      <c r="AO9" s="55">
        <v>8.3949999999999996</v>
      </c>
      <c r="AR9" s="55">
        <f t="shared" si="0"/>
        <v>8.7552820512820499</v>
      </c>
      <c r="AS9" s="55">
        <f t="shared" si="1"/>
        <v>2.6929470156094659</v>
      </c>
      <c r="AU9" s="55">
        <f t="shared" si="2"/>
        <v>2.1888205128205124E-2</v>
      </c>
    </row>
    <row r="10" spans="1:47" s="55" customFormat="1">
      <c r="A10" s="85"/>
      <c r="B10" s="77" t="s">
        <v>349</v>
      </c>
      <c r="C10" s="55">
        <v>5.0599999999999996</v>
      </c>
      <c r="D10" s="55">
        <v>1.49</v>
      </c>
      <c r="E10" s="55">
        <v>6.99</v>
      </c>
      <c r="F10" s="55">
        <v>7.4960000000000004</v>
      </c>
      <c r="G10" s="55">
        <v>9.49</v>
      </c>
      <c r="H10" s="55">
        <v>6.96</v>
      </c>
      <c r="I10" s="84">
        <v>8.4960000000000004</v>
      </c>
      <c r="J10" s="55">
        <v>7.59</v>
      </c>
      <c r="K10" s="55">
        <v>9.35</v>
      </c>
      <c r="L10" s="55">
        <v>4.7699999999999996</v>
      </c>
      <c r="M10" s="55">
        <v>7.9489999999999998</v>
      </c>
      <c r="N10" s="55">
        <v>5.6970000000000001</v>
      </c>
      <c r="O10" s="55">
        <v>8.9499999999999993</v>
      </c>
      <c r="P10" s="55">
        <v>9.8849999999999998</v>
      </c>
      <c r="Q10" s="55">
        <v>6.7</v>
      </c>
      <c r="R10" s="55">
        <v>8.7949999999999999</v>
      </c>
      <c r="S10" s="55">
        <v>6.79</v>
      </c>
      <c r="T10" s="55">
        <v>8.4960000000000004</v>
      </c>
      <c r="U10" s="55">
        <v>8.375</v>
      </c>
      <c r="V10" s="55">
        <v>9.2940000000000005</v>
      </c>
      <c r="W10" s="55">
        <v>8.5969999999999995</v>
      </c>
      <c r="X10" s="55">
        <v>6.7939999999999996</v>
      </c>
      <c r="Y10" s="55">
        <v>6.77</v>
      </c>
      <c r="Z10" s="55">
        <v>4.97</v>
      </c>
      <c r="AA10" s="55">
        <v>10.84</v>
      </c>
      <c r="AB10" s="55">
        <v>11.285</v>
      </c>
      <c r="AC10" s="55">
        <v>10.56</v>
      </c>
      <c r="AD10" s="55">
        <v>9.84</v>
      </c>
      <c r="AE10" s="55">
        <v>7.3849999999999998</v>
      </c>
      <c r="AF10" s="55">
        <v>8.5860000000000003</v>
      </c>
      <c r="AG10" s="55">
        <v>4.8600000000000003</v>
      </c>
      <c r="AH10" s="55">
        <v>7.18</v>
      </c>
      <c r="AI10" s="55">
        <v>6.38</v>
      </c>
      <c r="AJ10" s="55">
        <v>3.68</v>
      </c>
      <c r="AK10" s="55">
        <v>6.39</v>
      </c>
      <c r="AL10" s="55">
        <v>8.3800000000000008</v>
      </c>
      <c r="AM10" s="55">
        <v>6.38</v>
      </c>
      <c r="AN10" s="55">
        <v>5.8929999999999998</v>
      </c>
      <c r="AO10" s="55">
        <v>10.3</v>
      </c>
      <c r="AR10" s="55">
        <f t="shared" si="0"/>
        <v>7.5305897435897444</v>
      </c>
      <c r="AS10" s="55">
        <f t="shared" si="1"/>
        <v>2.0788174487326154</v>
      </c>
      <c r="AU10" s="55">
        <f t="shared" si="2"/>
        <v>1.882647435897436E-2</v>
      </c>
    </row>
    <row r="11" spans="1:47" s="55" customFormat="1">
      <c r="A11" s="85"/>
      <c r="B11" s="77" t="s">
        <v>350</v>
      </c>
      <c r="C11" s="55">
        <v>4.59</v>
      </c>
      <c r="D11" s="55">
        <v>7.95</v>
      </c>
      <c r="E11" s="55">
        <v>6.5</v>
      </c>
      <c r="F11" s="55">
        <v>4.9790000000000001</v>
      </c>
      <c r="G11" s="55">
        <v>8.3949999999999996</v>
      </c>
      <c r="H11" s="55">
        <v>4.6070000000000002</v>
      </c>
      <c r="I11" s="84">
        <v>9.2940000000000005</v>
      </c>
      <c r="J11" s="55">
        <v>10.945</v>
      </c>
      <c r="K11" s="55">
        <v>11.496</v>
      </c>
      <c r="L11" s="55">
        <v>6.49</v>
      </c>
      <c r="M11" s="55">
        <v>8.4960000000000004</v>
      </c>
      <c r="N11" s="55">
        <v>8.5500000000000007</v>
      </c>
      <c r="O11" s="55">
        <v>5.5</v>
      </c>
      <c r="P11" s="55">
        <v>4.694</v>
      </c>
      <c r="Q11" s="55">
        <v>10.936</v>
      </c>
      <c r="R11" s="55">
        <v>12.18</v>
      </c>
      <c r="S11" s="55">
        <v>12.118</v>
      </c>
      <c r="T11" s="55">
        <v>10.945</v>
      </c>
      <c r="U11" s="55">
        <v>11.869</v>
      </c>
      <c r="V11" s="55">
        <v>17.582000000000001</v>
      </c>
      <c r="W11" s="55">
        <v>15.29</v>
      </c>
      <c r="X11" s="55">
        <v>12.481</v>
      </c>
      <c r="Y11" s="55">
        <v>15.821999999999999</v>
      </c>
      <c r="Z11" s="55">
        <v>12.384</v>
      </c>
      <c r="AA11" s="55">
        <v>11.285</v>
      </c>
      <c r="AB11" s="55">
        <v>12.484999999999999</v>
      </c>
      <c r="AC11" s="55">
        <v>18.472000000000001</v>
      </c>
      <c r="AD11" s="55">
        <v>11.183</v>
      </c>
      <c r="AE11" s="55">
        <v>12.38</v>
      </c>
      <c r="AF11" s="55">
        <v>10.385</v>
      </c>
      <c r="AG11" s="55">
        <v>12.85</v>
      </c>
      <c r="AH11" s="55">
        <v>7.843</v>
      </c>
      <c r="AI11" s="55">
        <v>8.4860000000000007</v>
      </c>
      <c r="AJ11" s="55">
        <v>10.284000000000001</v>
      </c>
      <c r="AK11" s="55">
        <v>11.118</v>
      </c>
      <c r="AL11" s="55">
        <v>14.292999999999999</v>
      </c>
      <c r="AM11" s="55">
        <v>13.484999999999999</v>
      </c>
      <c r="AN11" s="55">
        <v>10.183</v>
      </c>
      <c r="AO11" s="55">
        <v>9.3840000000000003</v>
      </c>
      <c r="AR11" s="55">
        <f t="shared" si="0"/>
        <v>10.466897435897435</v>
      </c>
      <c r="AS11" s="55">
        <f t="shared" si="1"/>
        <v>3.4132587129948702</v>
      </c>
      <c r="AU11" s="55">
        <f t="shared" si="2"/>
        <v>2.6167243589743587E-2</v>
      </c>
    </row>
    <row r="12" spans="1:47" s="55" customFormat="1">
      <c r="A12" s="85"/>
      <c r="B12" s="77" t="s">
        <v>351</v>
      </c>
      <c r="C12" s="55">
        <v>5.4829999999999997</v>
      </c>
      <c r="D12" s="55">
        <v>4.5590000000000002</v>
      </c>
      <c r="E12" s="55">
        <v>3.69</v>
      </c>
      <c r="F12" s="55">
        <v>7.9580000000000002</v>
      </c>
      <c r="G12" s="55">
        <v>8.4949999999999992</v>
      </c>
      <c r="H12" s="55">
        <v>10.49</v>
      </c>
      <c r="I12" s="84">
        <v>11.581</v>
      </c>
      <c r="J12" s="55">
        <v>14.694000000000001</v>
      </c>
      <c r="K12" s="55">
        <v>10.259</v>
      </c>
      <c r="L12" s="55">
        <v>11.845000000000001</v>
      </c>
      <c r="M12" s="55">
        <v>10.85</v>
      </c>
      <c r="N12" s="55">
        <v>10.284000000000001</v>
      </c>
      <c r="O12" s="55">
        <v>11.48</v>
      </c>
      <c r="P12" s="55">
        <v>9.6829999999999998</v>
      </c>
      <c r="Q12" s="55">
        <v>8.4849999999999994</v>
      </c>
      <c r="R12" s="55">
        <v>9.4849999999999994</v>
      </c>
      <c r="S12" s="55">
        <v>10.395</v>
      </c>
      <c r="T12" s="55">
        <v>11.292999999999999</v>
      </c>
      <c r="U12" s="55">
        <v>10.48</v>
      </c>
      <c r="V12" s="55">
        <v>7.48</v>
      </c>
      <c r="W12" s="55">
        <v>8.39</v>
      </c>
      <c r="X12" s="55">
        <v>7.4850000000000003</v>
      </c>
      <c r="Y12" s="55">
        <v>10.948</v>
      </c>
      <c r="Z12" s="55">
        <v>11.385</v>
      </c>
      <c r="AA12" s="55">
        <v>9.9849999999999994</v>
      </c>
      <c r="AB12" s="55">
        <v>8.3849999999999998</v>
      </c>
      <c r="AC12" s="55">
        <v>3.5819999999999999</v>
      </c>
      <c r="AD12" s="55">
        <v>10.24</v>
      </c>
      <c r="AE12" s="55">
        <v>18.27</v>
      </c>
      <c r="AF12" s="55">
        <v>11.278</v>
      </c>
      <c r="AG12" s="55">
        <v>9.8172999999999995</v>
      </c>
      <c r="AH12" s="55">
        <v>12.83</v>
      </c>
      <c r="AI12" s="55">
        <v>8.1839999999999993</v>
      </c>
      <c r="AJ12" s="55">
        <v>7.3339999999999996</v>
      </c>
      <c r="AK12" s="55">
        <v>7.984</v>
      </c>
      <c r="AL12" s="55">
        <v>9.843</v>
      </c>
      <c r="AM12" s="55">
        <v>7.2839999999999998</v>
      </c>
      <c r="AN12" s="55">
        <v>8.7739999999999991</v>
      </c>
      <c r="AO12" s="55">
        <v>7.274</v>
      </c>
      <c r="AR12" s="55">
        <f t="shared" si="0"/>
        <v>9.4420846153846156</v>
      </c>
      <c r="AS12" s="55">
        <f t="shared" si="1"/>
        <v>2.7667734096386325</v>
      </c>
      <c r="AU12" s="55">
        <f t="shared" si="2"/>
        <v>2.360521153846154E-2</v>
      </c>
    </row>
    <row r="13" spans="1:47" s="55" customFormat="1">
      <c r="A13" s="85"/>
      <c r="B13" s="77" t="s">
        <v>352</v>
      </c>
      <c r="C13" s="55">
        <v>5.6890000000000001</v>
      </c>
      <c r="D13" s="55">
        <v>6.38</v>
      </c>
      <c r="E13" s="55">
        <v>8.27</v>
      </c>
      <c r="F13" s="55">
        <v>8.4499999999999993</v>
      </c>
      <c r="G13" s="55">
        <v>1.958</v>
      </c>
      <c r="H13" s="55">
        <v>6.399</v>
      </c>
      <c r="I13" s="84">
        <v>7.8490000000000002</v>
      </c>
      <c r="J13" s="55">
        <v>8.1829999999999998</v>
      </c>
      <c r="K13" s="55">
        <v>9.11</v>
      </c>
      <c r="L13" s="55">
        <v>10.835000000000001</v>
      </c>
      <c r="M13" s="55">
        <v>12.38</v>
      </c>
      <c r="N13" s="55">
        <v>15.29</v>
      </c>
      <c r="O13" s="55">
        <v>10.938000000000001</v>
      </c>
      <c r="P13" s="55">
        <v>12.183999999999999</v>
      </c>
      <c r="Q13" s="55">
        <v>10.85</v>
      </c>
      <c r="R13" s="55">
        <v>12.385</v>
      </c>
      <c r="S13" s="55">
        <v>10.938000000000001</v>
      </c>
      <c r="T13" s="55">
        <v>11.183999999999999</v>
      </c>
      <c r="U13" s="55">
        <v>14.284000000000001</v>
      </c>
      <c r="V13" s="55">
        <v>12.622</v>
      </c>
      <c r="W13" s="55">
        <v>10.834</v>
      </c>
      <c r="X13" s="55">
        <v>12.385</v>
      </c>
      <c r="Y13" s="55">
        <v>13.183999999999999</v>
      </c>
      <c r="Z13" s="55">
        <v>13.291</v>
      </c>
      <c r="AA13" s="55">
        <v>12.638</v>
      </c>
      <c r="AB13" s="55">
        <v>12.981</v>
      </c>
      <c r="AC13" s="55">
        <v>12.385999999999999</v>
      </c>
      <c r="AD13" s="55">
        <v>10.839</v>
      </c>
      <c r="AE13" s="55">
        <v>9.4849999999999994</v>
      </c>
      <c r="AF13" s="55">
        <v>8.3840000000000003</v>
      </c>
      <c r="AG13" s="55">
        <v>9.84</v>
      </c>
      <c r="AH13" s="55">
        <v>8.3849999999999998</v>
      </c>
      <c r="AI13" s="55">
        <v>9.8109999999999999</v>
      </c>
      <c r="AJ13" s="55">
        <v>8.8529999999999998</v>
      </c>
      <c r="AK13" s="55">
        <v>8.2840000000000007</v>
      </c>
      <c r="AL13" s="55">
        <v>7.7130000000000001</v>
      </c>
      <c r="AM13" s="55">
        <v>10.824</v>
      </c>
      <c r="AN13" s="55">
        <v>10.284000000000001</v>
      </c>
      <c r="AO13" s="55">
        <v>9.9339999999999993</v>
      </c>
      <c r="AR13" s="55">
        <f t="shared" si="0"/>
        <v>10.167</v>
      </c>
      <c r="AS13" s="55">
        <f t="shared" si="1"/>
        <v>2.6241243351479779</v>
      </c>
      <c r="AU13" s="55">
        <f t="shared" si="2"/>
        <v>2.5417499999999999E-2</v>
      </c>
    </row>
    <row r="14" spans="1:47" s="55" customFormat="1">
      <c r="A14" s="85"/>
      <c r="B14" s="77" t="s">
        <v>353</v>
      </c>
      <c r="C14" s="55">
        <v>6.4960000000000004</v>
      </c>
      <c r="D14" s="55">
        <v>4.9390000000000001</v>
      </c>
      <c r="E14" s="55">
        <v>9.59</v>
      </c>
      <c r="F14" s="55">
        <v>8.3800000000000008</v>
      </c>
      <c r="G14" s="55">
        <v>7.4960000000000004</v>
      </c>
      <c r="H14" s="55">
        <v>8.9187999999999992</v>
      </c>
      <c r="I14" s="84">
        <v>9.3949999999999996</v>
      </c>
      <c r="J14" s="55">
        <v>10.285</v>
      </c>
      <c r="K14" s="55">
        <v>11.385</v>
      </c>
      <c r="L14" s="55">
        <v>17.937999999999999</v>
      </c>
      <c r="M14" s="55">
        <v>13.484999999999999</v>
      </c>
      <c r="N14" s="55">
        <v>8.93</v>
      </c>
      <c r="O14" s="55">
        <v>6.4859999999999998</v>
      </c>
      <c r="P14" s="55">
        <v>4.82</v>
      </c>
      <c r="Q14" s="55">
        <v>8.59</v>
      </c>
      <c r="R14" s="55">
        <v>3.8340000000000001</v>
      </c>
      <c r="S14" s="55">
        <v>10.98</v>
      </c>
      <c r="T14" s="55">
        <v>8.85</v>
      </c>
      <c r="U14" s="55">
        <v>9.2840000000000007</v>
      </c>
      <c r="V14" s="55">
        <v>10.824</v>
      </c>
      <c r="W14" s="55">
        <v>1.84</v>
      </c>
      <c r="X14" s="55">
        <v>8.1839999999999993</v>
      </c>
      <c r="Y14" s="55">
        <v>7.5890000000000004</v>
      </c>
      <c r="Z14" s="55">
        <v>8.1980000000000004</v>
      </c>
      <c r="AA14" s="55">
        <v>10.834</v>
      </c>
      <c r="AB14" s="55">
        <v>11.657999999999999</v>
      </c>
      <c r="AC14" s="55">
        <v>10.289</v>
      </c>
      <c r="AD14" s="55">
        <v>9.827</v>
      </c>
      <c r="AE14" s="55">
        <v>8.2840000000000007</v>
      </c>
      <c r="AF14" s="55">
        <v>9.1829999999999998</v>
      </c>
      <c r="AG14" s="55">
        <v>7.6680000000000001</v>
      </c>
      <c r="AH14" s="55">
        <v>8.1199999999999992</v>
      </c>
      <c r="AI14" s="55">
        <v>8.48</v>
      </c>
      <c r="AJ14" s="55">
        <v>10.282999999999999</v>
      </c>
      <c r="AK14" s="55">
        <v>11.018000000000001</v>
      </c>
      <c r="AL14" s="55">
        <v>12.58</v>
      </c>
      <c r="AM14" s="55">
        <v>11.284000000000001</v>
      </c>
      <c r="AN14" s="55">
        <v>10.93</v>
      </c>
      <c r="AO14" s="55">
        <v>12.8</v>
      </c>
      <c r="AR14" s="55">
        <f t="shared" si="0"/>
        <v>9.2296102564102576</v>
      </c>
      <c r="AS14" s="55">
        <f t="shared" si="1"/>
        <v>2.8183143969209747</v>
      </c>
      <c r="AU14" s="55">
        <f t="shared" si="2"/>
        <v>2.3074025641025644E-2</v>
      </c>
    </row>
    <row r="15" spans="1:47" s="55" customFormat="1">
      <c r="G15" s="77"/>
      <c r="H15" s="77"/>
      <c r="J15" s="86"/>
    </row>
    <row r="16" spans="1:47" s="55" customFormat="1">
      <c r="J16" s="86"/>
    </row>
    <row r="17" spans="1:47" s="55" customFormat="1">
      <c r="A17" s="81"/>
      <c r="B17" s="77" t="s">
        <v>360</v>
      </c>
      <c r="J17" s="86"/>
    </row>
    <row r="18" spans="1:47" s="55" customFormat="1">
      <c r="A18" s="81"/>
      <c r="B18" s="77"/>
      <c r="C18" s="78" t="s">
        <v>438</v>
      </c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U18" s="77" t="s">
        <v>437</v>
      </c>
    </row>
    <row r="19" spans="1:47" s="55" customFormat="1">
      <c r="A19" s="81"/>
      <c r="B19" s="87"/>
      <c r="C19" s="79" t="s">
        <v>321</v>
      </c>
      <c r="D19" s="79" t="s">
        <v>322</v>
      </c>
      <c r="E19" s="80" t="s">
        <v>323</v>
      </c>
      <c r="F19" s="80">
        <v>42410</v>
      </c>
      <c r="G19" s="80">
        <v>42470</v>
      </c>
      <c r="H19" s="80">
        <v>42531</v>
      </c>
      <c r="I19" s="80">
        <v>42592</v>
      </c>
      <c r="J19" s="80">
        <v>42623</v>
      </c>
      <c r="K19" s="80">
        <v>42653</v>
      </c>
      <c r="L19" s="80">
        <v>42714</v>
      </c>
      <c r="M19" s="79" t="s">
        <v>324</v>
      </c>
      <c r="N19" s="79" t="s">
        <v>325</v>
      </c>
      <c r="O19" s="79" t="s">
        <v>326</v>
      </c>
      <c r="P19" s="79" t="s">
        <v>327</v>
      </c>
      <c r="Q19" s="79" t="s">
        <v>328</v>
      </c>
      <c r="R19" s="79" t="s">
        <v>329</v>
      </c>
      <c r="S19" s="79" t="s">
        <v>330</v>
      </c>
      <c r="T19" s="80" t="s">
        <v>331</v>
      </c>
      <c r="U19" s="80" t="s">
        <v>332</v>
      </c>
      <c r="V19" s="80" t="s">
        <v>333</v>
      </c>
      <c r="W19" s="80" t="s">
        <v>334</v>
      </c>
      <c r="X19" s="80">
        <v>42411</v>
      </c>
      <c r="Y19" s="80">
        <v>42471</v>
      </c>
      <c r="Z19" s="80">
        <v>42532</v>
      </c>
      <c r="AA19" s="80">
        <v>42593</v>
      </c>
      <c r="AB19" s="80">
        <v>42654</v>
      </c>
      <c r="AC19" s="80">
        <v>42715</v>
      </c>
      <c r="AD19" s="79" t="s">
        <v>335</v>
      </c>
      <c r="AE19" s="79" t="s">
        <v>336</v>
      </c>
      <c r="AF19" s="79" t="s">
        <v>337</v>
      </c>
      <c r="AG19" s="79" t="s">
        <v>338</v>
      </c>
      <c r="AH19" s="79" t="s">
        <v>339</v>
      </c>
      <c r="AI19" s="80" t="s">
        <v>340</v>
      </c>
      <c r="AJ19" s="80" t="s">
        <v>341</v>
      </c>
      <c r="AK19" s="80" t="s">
        <v>342</v>
      </c>
      <c r="AL19" s="80" t="s">
        <v>343</v>
      </c>
      <c r="AM19" s="88">
        <v>42412</v>
      </c>
      <c r="AN19" s="88">
        <v>42472</v>
      </c>
      <c r="AO19" s="88">
        <v>42533</v>
      </c>
    </row>
    <row r="20" spans="1:47" s="55" customFormat="1">
      <c r="A20" s="85"/>
      <c r="B20" s="77" t="s">
        <v>344</v>
      </c>
      <c r="C20" s="55">
        <v>7.399</v>
      </c>
      <c r="D20" s="55">
        <v>3.496</v>
      </c>
      <c r="E20" s="55">
        <v>7.49</v>
      </c>
      <c r="F20" s="55">
        <v>6.9219999999999997</v>
      </c>
      <c r="G20" s="55">
        <v>6.5839999999999996</v>
      </c>
      <c r="H20" s="55">
        <v>5.0590000000000002</v>
      </c>
      <c r="I20" s="84">
        <v>9.3949999999999996</v>
      </c>
      <c r="J20" s="55">
        <v>8.3849999999999998</v>
      </c>
      <c r="K20" s="55">
        <v>10.395</v>
      </c>
      <c r="L20" s="55">
        <v>10.833</v>
      </c>
      <c r="M20" s="55">
        <v>11.48</v>
      </c>
      <c r="N20" s="55">
        <v>3.95</v>
      </c>
      <c r="O20" s="55">
        <v>6.48</v>
      </c>
      <c r="P20" s="55">
        <v>7.85</v>
      </c>
      <c r="Q20" s="55">
        <v>8.2899999999999991</v>
      </c>
      <c r="R20" s="55">
        <v>10.938000000000001</v>
      </c>
      <c r="S20" s="55">
        <v>9.8350000000000009</v>
      </c>
      <c r="T20" s="55">
        <v>8.4849999999999994</v>
      </c>
      <c r="U20" s="55">
        <v>10.39</v>
      </c>
      <c r="V20" s="55">
        <v>11.84</v>
      </c>
      <c r="W20" s="55">
        <v>10.398</v>
      </c>
      <c r="X20" s="55">
        <v>10.496</v>
      </c>
      <c r="Y20" s="55">
        <v>10.295</v>
      </c>
      <c r="Z20" s="55">
        <v>8.59</v>
      </c>
      <c r="AA20" s="55">
        <v>7.3949999999999996</v>
      </c>
      <c r="AB20" s="55">
        <v>9.8350000000000009</v>
      </c>
      <c r="AC20" s="55">
        <v>7.3840000000000003</v>
      </c>
      <c r="AD20" s="55">
        <v>9.1829999999999998</v>
      </c>
      <c r="AE20" s="55">
        <v>7.59</v>
      </c>
      <c r="AF20" s="55">
        <v>9.89</v>
      </c>
      <c r="AG20" s="55">
        <v>10.84</v>
      </c>
      <c r="AH20" s="55">
        <v>11.395</v>
      </c>
      <c r="AI20" s="55">
        <v>9.4849999999999994</v>
      </c>
      <c r="AJ20" s="55">
        <v>10.294</v>
      </c>
      <c r="AK20" s="55">
        <v>10.853</v>
      </c>
      <c r="AL20" s="55">
        <v>10.298</v>
      </c>
      <c r="AM20" s="55">
        <v>9.8119999999999994</v>
      </c>
      <c r="AN20" s="55">
        <v>8.0180000000000007</v>
      </c>
      <c r="AO20" s="55">
        <v>9.4589999999999996</v>
      </c>
      <c r="AR20" s="55">
        <f>AVERAGE(C20:AP20)</f>
        <v>8.8975897435897444</v>
      </c>
      <c r="AS20" s="55">
        <f>STDEV(C20:AP20)</f>
        <v>2.0099813918744363</v>
      </c>
      <c r="AU20" s="55">
        <f>AR20*0.005/2</f>
        <v>2.224397435897436E-2</v>
      </c>
    </row>
    <row r="21" spans="1:47" s="55" customFormat="1">
      <c r="A21" s="85"/>
      <c r="B21" s="77" t="s">
        <v>345</v>
      </c>
      <c r="C21" s="55">
        <v>7.4050000000000002</v>
      </c>
      <c r="D21" s="55">
        <v>9.2899999999999991</v>
      </c>
      <c r="E21" s="55">
        <v>10.494999999999999</v>
      </c>
      <c r="F21" s="55">
        <v>8.4819999999999993</v>
      </c>
      <c r="G21" s="55">
        <v>9.4499999999999993</v>
      </c>
      <c r="H21" s="55">
        <v>10.39</v>
      </c>
      <c r="I21" s="84">
        <v>11.58</v>
      </c>
      <c r="J21" s="55">
        <v>9.84</v>
      </c>
      <c r="K21" s="55">
        <v>10.484999999999999</v>
      </c>
      <c r="L21" s="55">
        <v>8.3940000000000001</v>
      </c>
      <c r="M21" s="55">
        <v>9.2799999999999994</v>
      </c>
      <c r="N21" s="55">
        <v>10.384</v>
      </c>
      <c r="O21" s="55">
        <v>8.4849999999999994</v>
      </c>
      <c r="P21" s="55">
        <v>9.8119999999999994</v>
      </c>
      <c r="Q21" s="55">
        <v>10.48</v>
      </c>
      <c r="R21" s="55">
        <v>8.4849999999999994</v>
      </c>
      <c r="S21" s="55">
        <v>9.1839999999999993</v>
      </c>
      <c r="T21" s="55">
        <v>9.5579999999999998</v>
      </c>
      <c r="U21" s="55">
        <v>10.496</v>
      </c>
      <c r="V21" s="55">
        <v>10.46</v>
      </c>
      <c r="W21" s="55">
        <v>8.1839999999999993</v>
      </c>
      <c r="X21" s="55">
        <v>9.59</v>
      </c>
      <c r="Y21" s="55">
        <v>10.48</v>
      </c>
      <c r="Z21" s="55">
        <v>7.24</v>
      </c>
      <c r="AA21" s="55">
        <v>6.85</v>
      </c>
      <c r="AB21" s="55">
        <v>8.2469999999999999</v>
      </c>
      <c r="AC21" s="55">
        <v>7.98</v>
      </c>
      <c r="AD21" s="55">
        <v>5.68</v>
      </c>
      <c r="AE21" s="55">
        <v>7.1840000000000002</v>
      </c>
      <c r="AF21" s="55">
        <v>9.3849999999999998</v>
      </c>
      <c r="AG21" s="55">
        <v>10.54</v>
      </c>
      <c r="AH21" s="55">
        <v>9.2840000000000007</v>
      </c>
      <c r="AI21" s="55">
        <v>8.3740000000000006</v>
      </c>
      <c r="AJ21" s="55">
        <v>10.385</v>
      </c>
      <c r="AK21" s="55">
        <v>7.3879999999999999</v>
      </c>
      <c r="AL21" s="55">
        <v>8.9183000000000003</v>
      </c>
      <c r="AM21" s="55">
        <v>7.3840000000000003</v>
      </c>
      <c r="AN21" s="55">
        <v>6.3849999999999998</v>
      </c>
      <c r="AO21" s="55">
        <v>10.853999999999999</v>
      </c>
      <c r="AR21" s="55">
        <f t="shared" ref="AR21:AR29" si="3">AVERAGE(C21:AP21)</f>
        <v>9.0453153846153835</v>
      </c>
      <c r="AS21" s="55">
        <f t="shared" ref="AS21:AS29" si="4">STDEV(C21:AP21)</f>
        <v>1.3998520035569382</v>
      </c>
      <c r="AU21" s="55">
        <f t="shared" ref="AU21:AU29" si="5">AR21*0.005/2</f>
        <v>2.2613288461538459E-2</v>
      </c>
    </row>
    <row r="22" spans="1:47" s="55" customFormat="1">
      <c r="A22" s="85"/>
      <c r="B22" s="77" t="s">
        <v>346</v>
      </c>
      <c r="C22" s="55">
        <v>7.0570000000000004</v>
      </c>
      <c r="D22" s="55">
        <v>10.98</v>
      </c>
      <c r="E22" s="55">
        <v>8.8490000000000002</v>
      </c>
      <c r="F22" s="55">
        <v>10.486000000000001</v>
      </c>
      <c r="G22" s="55">
        <v>6.0350000000000001</v>
      </c>
      <c r="H22" s="55">
        <v>9.2840000000000007</v>
      </c>
      <c r="I22" s="84">
        <v>8.3949999999999996</v>
      </c>
      <c r="J22" s="55">
        <v>5.6970000000000001</v>
      </c>
      <c r="K22" s="55">
        <v>8.2840000000000007</v>
      </c>
      <c r="L22" s="55">
        <v>9.8810000000000002</v>
      </c>
      <c r="M22" s="55">
        <v>7.2949999999999999</v>
      </c>
      <c r="N22" s="55">
        <v>8.923</v>
      </c>
      <c r="O22" s="55">
        <v>5.2960000000000003</v>
      </c>
      <c r="P22" s="55">
        <v>7.1840000000000002</v>
      </c>
      <c r="Q22" s="55">
        <v>5.6929999999999996</v>
      </c>
      <c r="R22" s="55">
        <v>7.9489999999999998</v>
      </c>
      <c r="S22" s="55">
        <v>10.385</v>
      </c>
      <c r="T22" s="55">
        <v>11.183999999999999</v>
      </c>
      <c r="U22" s="55">
        <v>10.938000000000001</v>
      </c>
      <c r="V22" s="55">
        <v>10.284000000000001</v>
      </c>
      <c r="W22" s="55">
        <v>11.28</v>
      </c>
      <c r="X22" s="55">
        <v>10.395</v>
      </c>
      <c r="Y22" s="55">
        <v>8.8539999999999992</v>
      </c>
      <c r="Z22" s="55">
        <v>7.4950000000000001</v>
      </c>
      <c r="AA22" s="55">
        <v>9.3800000000000008</v>
      </c>
      <c r="AB22" s="55">
        <v>10.38</v>
      </c>
      <c r="AC22" s="55">
        <v>6.782</v>
      </c>
      <c r="AD22" s="55">
        <v>8.4109999999999996</v>
      </c>
      <c r="AE22" s="55">
        <v>9.2840000000000007</v>
      </c>
      <c r="AF22" s="55">
        <v>10.183999999999999</v>
      </c>
      <c r="AG22" s="55">
        <v>9.0180000000000007</v>
      </c>
      <c r="AH22" s="55">
        <v>10.183</v>
      </c>
      <c r="AI22" s="55">
        <v>10.384</v>
      </c>
      <c r="AJ22" s="55">
        <v>11.1934</v>
      </c>
      <c r="AK22" s="55">
        <v>6.39</v>
      </c>
      <c r="AL22" s="55">
        <v>8.4960000000000004</v>
      </c>
      <c r="AM22" s="55">
        <v>6.9580000000000002</v>
      </c>
      <c r="AN22" s="55">
        <v>10.945</v>
      </c>
      <c r="AO22" s="55">
        <v>11.285</v>
      </c>
      <c r="AR22" s="55">
        <f t="shared" si="3"/>
        <v>8.9070871794871813</v>
      </c>
      <c r="AS22" s="55">
        <f t="shared" si="4"/>
        <v>1.7894815602025507</v>
      </c>
      <c r="AU22" s="55">
        <f t="shared" si="5"/>
        <v>2.2267717948717954E-2</v>
      </c>
    </row>
    <row r="23" spans="1:47" s="55" customFormat="1">
      <c r="A23" s="85"/>
      <c r="B23" s="77" t="s">
        <v>347</v>
      </c>
      <c r="C23" s="55">
        <v>7.2039999999999997</v>
      </c>
      <c r="D23" s="55">
        <v>4.2930000000000001</v>
      </c>
      <c r="E23" s="55">
        <v>4.96</v>
      </c>
      <c r="F23" s="55">
        <v>2.1040000000000001</v>
      </c>
      <c r="G23" s="55">
        <v>5.3949999999999996</v>
      </c>
      <c r="H23" s="55">
        <v>8.3049999999999997</v>
      </c>
      <c r="I23" s="84">
        <v>9.1430000000000007</v>
      </c>
      <c r="J23" s="55">
        <v>8.2840000000000007</v>
      </c>
      <c r="K23" s="55">
        <v>6.95</v>
      </c>
      <c r="L23" s="55">
        <v>10.38</v>
      </c>
      <c r="M23" s="55">
        <v>15.95</v>
      </c>
      <c r="N23" s="55">
        <v>8.8350000000000009</v>
      </c>
      <c r="O23" s="55">
        <v>6.9390000000000001</v>
      </c>
      <c r="P23" s="55">
        <v>8.2940000000000005</v>
      </c>
      <c r="Q23" s="55">
        <v>9.48</v>
      </c>
      <c r="R23" s="55">
        <v>10.395</v>
      </c>
      <c r="S23" s="55">
        <v>7.298</v>
      </c>
      <c r="T23" s="55">
        <v>9.84</v>
      </c>
      <c r="U23" s="55">
        <v>6.28</v>
      </c>
      <c r="V23" s="55">
        <v>9.34</v>
      </c>
      <c r="W23" s="55">
        <v>8.1839999999999993</v>
      </c>
      <c r="X23" s="55">
        <v>5.6230000000000002</v>
      </c>
      <c r="Y23" s="55">
        <v>7.4950000000000001</v>
      </c>
      <c r="Z23" s="55">
        <v>8.4849999999999994</v>
      </c>
      <c r="AA23" s="55">
        <v>9.3840000000000003</v>
      </c>
      <c r="AB23" s="55">
        <v>5.6929999999999996</v>
      </c>
      <c r="AC23" s="55">
        <v>8.9320000000000004</v>
      </c>
      <c r="AD23" s="55">
        <v>9.843</v>
      </c>
      <c r="AE23" s="55">
        <v>3.5939999999999999</v>
      </c>
      <c r="AF23" s="55">
        <v>4.5960000000000001</v>
      </c>
      <c r="AG23" s="55">
        <v>8.2940000000000005</v>
      </c>
      <c r="AH23" s="55">
        <v>6.3929999999999998</v>
      </c>
      <c r="AI23" s="55">
        <v>8.5820000000000007</v>
      </c>
      <c r="AJ23" s="55">
        <v>2.4950000000000001</v>
      </c>
      <c r="AK23" s="55">
        <v>5.3949999999999996</v>
      </c>
      <c r="AL23" s="55">
        <v>4.9390000000000001</v>
      </c>
      <c r="AM23" s="55">
        <v>5.0519999999999996</v>
      </c>
      <c r="AN23" s="55">
        <v>3.5960000000000001</v>
      </c>
      <c r="AO23" s="55">
        <v>3.5960000000000001</v>
      </c>
      <c r="AR23" s="55">
        <f t="shared" si="3"/>
        <v>7.1753846153846146</v>
      </c>
      <c r="AS23" s="55">
        <f t="shared" si="4"/>
        <v>2.6861770782185186</v>
      </c>
      <c r="AU23" s="55">
        <f t="shared" si="5"/>
        <v>1.7938461538461539E-2</v>
      </c>
    </row>
    <row r="24" spans="1:47" s="55" customFormat="1">
      <c r="A24" s="85"/>
      <c r="B24" s="77" t="s">
        <v>348</v>
      </c>
      <c r="C24" s="55">
        <v>6.3049999999999997</v>
      </c>
      <c r="D24" s="55">
        <v>2.3050000000000002</v>
      </c>
      <c r="E24" s="55">
        <v>7.4059999999999997</v>
      </c>
      <c r="F24" s="55">
        <v>9.4960000000000004</v>
      </c>
      <c r="G24" s="55">
        <v>5.66</v>
      </c>
      <c r="H24" s="55">
        <v>3.0920000000000001</v>
      </c>
      <c r="I24" s="84">
        <v>7.49</v>
      </c>
      <c r="J24" s="55">
        <v>3.96</v>
      </c>
      <c r="K24" s="55">
        <v>8.4960000000000004</v>
      </c>
      <c r="L24" s="55">
        <v>2.4900000000000002</v>
      </c>
      <c r="M24" s="55">
        <v>8.44</v>
      </c>
      <c r="N24" s="55">
        <v>5.3949999999999996</v>
      </c>
      <c r="O24" s="55">
        <v>7.3949999999999996</v>
      </c>
      <c r="P24" s="55">
        <v>8.2260000000000009</v>
      </c>
      <c r="Q24" s="55">
        <v>8.94</v>
      </c>
      <c r="R24" s="55">
        <v>5.79</v>
      </c>
      <c r="S24" s="55">
        <v>9.4860000000000007</v>
      </c>
      <c r="T24" s="55">
        <v>6.96</v>
      </c>
      <c r="U24" s="55">
        <v>8.9600000000000009</v>
      </c>
      <c r="V24" s="55">
        <v>6.49</v>
      </c>
      <c r="W24" s="55">
        <v>5.6929999999999996</v>
      </c>
      <c r="X24" s="55">
        <v>9.84</v>
      </c>
      <c r="Y24" s="55">
        <v>3.597</v>
      </c>
      <c r="Z24" s="55">
        <v>8.4960000000000004</v>
      </c>
      <c r="AA24" s="55">
        <v>14.395</v>
      </c>
      <c r="AB24" s="55">
        <v>9.468</v>
      </c>
      <c r="AC24" s="55">
        <v>10.84</v>
      </c>
      <c r="AD24" s="55">
        <v>11.295</v>
      </c>
      <c r="AE24" s="55">
        <v>10.922000000000001</v>
      </c>
      <c r="AF24" s="55">
        <v>9.3840000000000003</v>
      </c>
      <c r="AG24" s="55">
        <v>9.2430000000000003</v>
      </c>
      <c r="AH24" s="55">
        <v>8.8450000000000006</v>
      </c>
      <c r="AI24" s="55">
        <v>7.9429999999999996</v>
      </c>
      <c r="AJ24" s="55">
        <v>6.7939999999999996</v>
      </c>
      <c r="AK24" s="55">
        <v>9.1419999999999995</v>
      </c>
      <c r="AL24" s="55">
        <v>10.385</v>
      </c>
      <c r="AM24" s="55">
        <v>11.552</v>
      </c>
      <c r="AN24" s="55">
        <v>8.6929999999999996</v>
      </c>
      <c r="AO24" s="55">
        <v>6.2750000000000004</v>
      </c>
      <c r="AR24" s="55">
        <f t="shared" si="3"/>
        <v>7.8354871794871794</v>
      </c>
      <c r="AS24" s="55">
        <f t="shared" si="4"/>
        <v>2.6197549289941646</v>
      </c>
      <c r="AU24" s="55">
        <f t="shared" si="5"/>
        <v>1.958871794871795E-2</v>
      </c>
    </row>
    <row r="25" spans="1:47" s="55" customFormat="1">
      <c r="A25" s="85"/>
      <c r="B25" s="77" t="s">
        <v>349</v>
      </c>
      <c r="C25" s="55">
        <v>4.1040000000000001</v>
      </c>
      <c r="D25" s="55">
        <v>7.59</v>
      </c>
      <c r="E25" s="55">
        <v>6.29</v>
      </c>
      <c r="F25" s="55">
        <v>9.2840000000000007</v>
      </c>
      <c r="G25" s="55">
        <v>10.48</v>
      </c>
      <c r="H25" s="55">
        <v>11.395</v>
      </c>
      <c r="I25" s="84">
        <v>9.8460000000000001</v>
      </c>
      <c r="J25" s="55">
        <v>7.2939999999999996</v>
      </c>
      <c r="K25" s="55">
        <v>9.3800000000000008</v>
      </c>
      <c r="L25" s="55">
        <v>8.48</v>
      </c>
      <c r="M25" s="55">
        <v>10.084</v>
      </c>
      <c r="N25" s="55">
        <v>11.284000000000001</v>
      </c>
      <c r="O25" s="55">
        <v>13.930999999999999</v>
      </c>
      <c r="P25" s="55">
        <v>12.019399999999999</v>
      </c>
      <c r="Q25" s="55">
        <v>12.486000000000001</v>
      </c>
      <c r="R25" s="55">
        <v>11.193</v>
      </c>
      <c r="S25" s="55">
        <v>10.928000000000001</v>
      </c>
      <c r="T25" s="55">
        <v>12.298</v>
      </c>
      <c r="U25" s="55">
        <v>8.3840000000000003</v>
      </c>
      <c r="V25" s="55">
        <v>7.2279999999999998</v>
      </c>
      <c r="W25" s="55">
        <v>8.9184000000000001</v>
      </c>
      <c r="X25" s="55">
        <v>6.85</v>
      </c>
      <c r="Y25" s="55">
        <v>7.3849999999999998</v>
      </c>
      <c r="Z25" s="55">
        <v>8.84</v>
      </c>
      <c r="AA25" s="55">
        <v>6.7830000000000004</v>
      </c>
      <c r="AB25" s="55">
        <v>8.8580000000000005</v>
      </c>
      <c r="AC25" s="55">
        <v>2.3849999999999998</v>
      </c>
      <c r="AD25" s="55">
        <v>8.3849999999999998</v>
      </c>
      <c r="AE25" s="55">
        <v>3.5960000000000001</v>
      </c>
      <c r="AF25" s="55">
        <v>7.2830000000000004</v>
      </c>
      <c r="AG25" s="55">
        <v>5.8490000000000002</v>
      </c>
      <c r="AH25" s="55">
        <v>6.4850000000000003</v>
      </c>
      <c r="AI25" s="55">
        <v>8.2799999999999994</v>
      </c>
      <c r="AJ25" s="55">
        <v>3.96</v>
      </c>
      <c r="AK25" s="55">
        <v>9.3849999999999998</v>
      </c>
      <c r="AL25" s="55">
        <v>10.348000000000001</v>
      </c>
      <c r="AM25" s="55">
        <v>11.183999999999999</v>
      </c>
      <c r="AN25" s="55">
        <v>6.3959999999999999</v>
      </c>
      <c r="AO25" s="55">
        <v>9.2799999999999994</v>
      </c>
      <c r="AR25" s="55">
        <f t="shared" si="3"/>
        <v>8.575097435897435</v>
      </c>
      <c r="AS25" s="55">
        <f t="shared" si="4"/>
        <v>2.6029459249379663</v>
      </c>
      <c r="AU25" s="55">
        <f t="shared" si="5"/>
        <v>2.1437743589743589E-2</v>
      </c>
    </row>
    <row r="26" spans="1:47" s="55" customFormat="1">
      <c r="A26" s="85"/>
      <c r="B26" s="77" t="s">
        <v>350</v>
      </c>
      <c r="C26" s="55">
        <v>5.7919999999999998</v>
      </c>
      <c r="D26" s="55">
        <v>2.496</v>
      </c>
      <c r="E26" s="55">
        <v>8.2940000000000005</v>
      </c>
      <c r="F26" s="55">
        <v>5.6829999999999998</v>
      </c>
      <c r="G26" s="55">
        <v>9.5860000000000003</v>
      </c>
      <c r="H26" s="55">
        <v>5.2859999999999996</v>
      </c>
      <c r="I26" s="84">
        <v>10.385</v>
      </c>
      <c r="J26" s="55">
        <v>11.385</v>
      </c>
      <c r="K26" s="55">
        <v>14.395</v>
      </c>
      <c r="L26" s="55">
        <v>12.968</v>
      </c>
      <c r="M26" s="55">
        <v>10.839</v>
      </c>
      <c r="N26" s="55">
        <v>9.3849999999999998</v>
      </c>
      <c r="O26" s="55">
        <v>8.85</v>
      </c>
      <c r="P26" s="55">
        <v>8.9580000000000002</v>
      </c>
      <c r="Q26" s="55">
        <v>9.4860000000000007</v>
      </c>
      <c r="R26" s="55">
        <v>10.385</v>
      </c>
      <c r="S26" s="55">
        <v>16.98</v>
      </c>
      <c r="T26" s="55">
        <v>18.375</v>
      </c>
      <c r="U26" s="55">
        <v>19.263999999999999</v>
      </c>
      <c r="V26" s="55">
        <v>7.2949999999999999</v>
      </c>
      <c r="W26" s="55">
        <v>7.2939999999999996</v>
      </c>
      <c r="X26" s="55">
        <v>6.48</v>
      </c>
      <c r="Y26" s="55">
        <v>9.2840000000000007</v>
      </c>
      <c r="Z26" s="55">
        <v>10.853999999999999</v>
      </c>
      <c r="AA26" s="55">
        <v>10.257999999999999</v>
      </c>
      <c r="AB26" s="55">
        <v>12.589</v>
      </c>
      <c r="AC26" s="55">
        <v>11.295</v>
      </c>
      <c r="AD26" s="55">
        <v>10.938000000000001</v>
      </c>
      <c r="AE26" s="55">
        <v>11.284000000000001</v>
      </c>
      <c r="AF26" s="55">
        <v>14.984</v>
      </c>
      <c r="AG26" s="55">
        <v>10.385</v>
      </c>
      <c r="AH26" s="55">
        <v>13.182</v>
      </c>
      <c r="AI26" s="55">
        <v>11.244999999999999</v>
      </c>
      <c r="AJ26" s="55">
        <v>18.472999999999999</v>
      </c>
      <c r="AK26" s="55">
        <v>13.484999999999999</v>
      </c>
      <c r="AL26" s="55">
        <v>11.285</v>
      </c>
      <c r="AM26" s="55">
        <v>14.586</v>
      </c>
      <c r="AN26" s="55">
        <v>11.835000000000001</v>
      </c>
      <c r="AO26" s="55">
        <v>10.385</v>
      </c>
      <c r="AR26" s="55">
        <f t="shared" si="3"/>
        <v>10.928410256410258</v>
      </c>
      <c r="AS26" s="55">
        <f t="shared" si="4"/>
        <v>3.6604718829964789</v>
      </c>
      <c r="AU26" s="55">
        <f t="shared" si="5"/>
        <v>2.7321025641025645E-2</v>
      </c>
    </row>
    <row r="27" spans="1:47" s="55" customFormat="1">
      <c r="A27" s="85"/>
      <c r="B27" s="77" t="s">
        <v>351</v>
      </c>
      <c r="C27" s="55">
        <v>8.9589999999999996</v>
      </c>
      <c r="D27" s="55">
        <v>6.3949999999999996</v>
      </c>
      <c r="E27" s="55">
        <v>2.9929999999999999</v>
      </c>
      <c r="F27" s="55">
        <v>9.6069999999999993</v>
      </c>
      <c r="G27" s="55">
        <v>10.698</v>
      </c>
      <c r="H27" s="55">
        <v>12.583</v>
      </c>
      <c r="I27" s="84">
        <v>10.298</v>
      </c>
      <c r="J27" s="55">
        <v>11.244</v>
      </c>
      <c r="K27" s="55">
        <v>11.28</v>
      </c>
      <c r="L27" s="55">
        <v>6.84</v>
      </c>
      <c r="M27" s="55">
        <v>19.347000000000001</v>
      </c>
      <c r="N27" s="55">
        <v>10.398</v>
      </c>
      <c r="O27" s="55">
        <v>12.385</v>
      </c>
      <c r="P27" s="55">
        <v>10.183999999999999</v>
      </c>
      <c r="Q27" s="55">
        <v>11.651999999999999</v>
      </c>
      <c r="R27" s="55">
        <v>14.019</v>
      </c>
      <c r="S27" s="55">
        <v>11.186</v>
      </c>
      <c r="T27" s="55">
        <v>10.839399999999999</v>
      </c>
      <c r="U27" s="55">
        <v>9.859</v>
      </c>
      <c r="V27" s="55">
        <v>7.3849999999999998</v>
      </c>
      <c r="W27" s="55">
        <v>8.3469999999999995</v>
      </c>
      <c r="X27" s="55">
        <v>9.8379999999999992</v>
      </c>
      <c r="Y27" s="55">
        <v>10.340999999999999</v>
      </c>
      <c r="Z27" s="55">
        <v>9.3849999999999998</v>
      </c>
      <c r="AA27" s="55">
        <v>8.2349999999999994</v>
      </c>
      <c r="AB27" s="55">
        <v>10.933999999999999</v>
      </c>
      <c r="AC27" s="55">
        <v>14.981999999999999</v>
      </c>
      <c r="AD27" s="55">
        <v>8.7929999999999993</v>
      </c>
      <c r="AE27" s="55">
        <v>9.2840000000000007</v>
      </c>
      <c r="AF27" s="55">
        <v>9.2739999999999991</v>
      </c>
      <c r="AG27" s="55">
        <v>10.284000000000001</v>
      </c>
      <c r="AH27" s="55">
        <v>11.228</v>
      </c>
      <c r="AI27" s="55">
        <v>12.183999999999999</v>
      </c>
      <c r="AJ27" s="55">
        <v>10.494999999999999</v>
      </c>
      <c r="AK27" s="55">
        <v>11.183999999999999</v>
      </c>
      <c r="AL27" s="55">
        <v>6.8490000000000002</v>
      </c>
      <c r="AM27" s="55">
        <v>8.9499999999999993</v>
      </c>
      <c r="AN27" s="55">
        <v>8.2940000000000005</v>
      </c>
      <c r="AO27" s="55">
        <v>3.593</v>
      </c>
      <c r="AR27" s="55">
        <f t="shared" si="3"/>
        <v>10.016035897435899</v>
      </c>
      <c r="AS27" s="55">
        <f t="shared" si="4"/>
        <v>2.8209445483726263</v>
      </c>
      <c r="AU27" s="55">
        <f t="shared" si="5"/>
        <v>2.5040089743589747E-2</v>
      </c>
    </row>
    <row r="28" spans="1:47" s="55" customFormat="1">
      <c r="A28" s="85"/>
      <c r="B28" s="77" t="s">
        <v>352</v>
      </c>
      <c r="C28" s="55">
        <v>4.6970000000000001</v>
      </c>
      <c r="D28" s="55">
        <v>8.93</v>
      </c>
      <c r="E28" s="55">
        <v>7.49</v>
      </c>
      <c r="F28" s="55">
        <v>10.183999999999999</v>
      </c>
      <c r="G28" s="55">
        <v>11.183999999999999</v>
      </c>
      <c r="H28" s="55">
        <v>12.581</v>
      </c>
      <c r="I28" s="84">
        <v>10.981999999999999</v>
      </c>
      <c r="J28" s="55">
        <v>14.391</v>
      </c>
      <c r="K28" s="55">
        <v>10.358000000000001</v>
      </c>
      <c r="L28" s="55">
        <v>8.2889999999999997</v>
      </c>
      <c r="M28" s="55">
        <v>9.2949999999999999</v>
      </c>
      <c r="N28" s="55">
        <v>10.298999999999999</v>
      </c>
      <c r="O28" s="55">
        <v>10.285</v>
      </c>
      <c r="P28" s="55">
        <v>11.683</v>
      </c>
      <c r="Q28" s="55">
        <v>9.4860000000000007</v>
      </c>
      <c r="R28" s="55">
        <v>8.3480000000000008</v>
      </c>
      <c r="S28" s="55">
        <v>8.2940000000000005</v>
      </c>
      <c r="T28" s="55">
        <v>10.122999999999999</v>
      </c>
      <c r="U28" s="55">
        <v>12.385</v>
      </c>
      <c r="V28" s="55">
        <v>16.385000000000002</v>
      </c>
      <c r="W28" s="55">
        <v>19.385000000000002</v>
      </c>
      <c r="X28" s="55">
        <v>12.228</v>
      </c>
      <c r="Y28" s="55">
        <v>15.284000000000001</v>
      </c>
      <c r="Z28" s="55">
        <v>13.691000000000001</v>
      </c>
      <c r="AA28" s="55">
        <v>10.295</v>
      </c>
      <c r="AB28" s="55">
        <v>9.2840000000000007</v>
      </c>
      <c r="AC28" s="55">
        <v>8.3849999999999998</v>
      </c>
      <c r="AD28" s="55">
        <v>9.1839999999999993</v>
      </c>
      <c r="AE28" s="55">
        <v>10.284000000000001</v>
      </c>
      <c r="AF28" s="55">
        <v>11.183999999999999</v>
      </c>
      <c r="AG28" s="55">
        <v>10.385</v>
      </c>
      <c r="AH28" s="55">
        <v>11.913</v>
      </c>
      <c r="AI28" s="55">
        <v>10.218999999999999</v>
      </c>
      <c r="AJ28" s="55">
        <v>14.834</v>
      </c>
      <c r="AK28" s="55">
        <v>10.295</v>
      </c>
      <c r="AL28" s="55">
        <v>11.193</v>
      </c>
      <c r="AM28" s="55">
        <v>8.9499999999999993</v>
      </c>
      <c r="AN28" s="55">
        <v>5.3940000000000001</v>
      </c>
      <c r="AO28" s="55">
        <v>8.85</v>
      </c>
      <c r="AR28" s="55">
        <f t="shared" si="3"/>
        <v>10.689897435897436</v>
      </c>
      <c r="AS28" s="55">
        <f t="shared" si="4"/>
        <v>2.7937641443878087</v>
      </c>
      <c r="AU28" s="55">
        <f t="shared" si="5"/>
        <v>2.6724743589743589E-2</v>
      </c>
    </row>
    <row r="29" spans="1:47" s="55" customFormat="1">
      <c r="B29" s="77" t="s">
        <v>353</v>
      </c>
      <c r="C29" s="55">
        <v>5.2049000000000003</v>
      </c>
      <c r="D29" s="55">
        <v>3.3050000000000002</v>
      </c>
      <c r="E29" s="55">
        <v>9.1829999999999998</v>
      </c>
      <c r="F29" s="55">
        <v>10.348000000000001</v>
      </c>
      <c r="G29" s="55">
        <v>2.794</v>
      </c>
      <c r="H29" s="55">
        <v>8.2840000000000007</v>
      </c>
      <c r="I29" s="84">
        <v>9.2040000000000006</v>
      </c>
      <c r="J29" s="55">
        <v>8.048</v>
      </c>
      <c r="K29" s="55">
        <v>13.183999999999999</v>
      </c>
      <c r="L29" s="55">
        <v>10.83</v>
      </c>
      <c r="M29" s="55">
        <v>12.385</v>
      </c>
      <c r="N29" s="55">
        <v>10.928000000000001</v>
      </c>
      <c r="O29" s="55">
        <v>12.385</v>
      </c>
      <c r="P29" s="55">
        <v>10.484999999999999</v>
      </c>
      <c r="Q29" s="55">
        <v>8.3109999999999999</v>
      </c>
      <c r="R29" s="55">
        <v>9.391</v>
      </c>
      <c r="S29" s="55">
        <v>6.2850000000000001</v>
      </c>
      <c r="T29" s="55">
        <v>8.94</v>
      </c>
      <c r="U29" s="55">
        <v>19.867000000000001</v>
      </c>
      <c r="V29" s="55">
        <v>10.28</v>
      </c>
      <c r="W29" s="55">
        <v>5.28</v>
      </c>
      <c r="X29" s="55">
        <v>8.2840000000000007</v>
      </c>
      <c r="Y29" s="55">
        <v>9.1839999999999993</v>
      </c>
      <c r="Z29" s="55">
        <v>13.481999999999999</v>
      </c>
      <c r="AA29" s="55">
        <v>19.468</v>
      </c>
      <c r="AB29" s="55">
        <v>9.827</v>
      </c>
      <c r="AC29" s="55">
        <v>8.718</v>
      </c>
      <c r="AD29" s="55">
        <v>6.2850000000000001</v>
      </c>
      <c r="AE29" s="55">
        <v>9.8620000000000001</v>
      </c>
      <c r="AF29" s="55">
        <v>5.8380000000000001</v>
      </c>
      <c r="AG29" s="55">
        <v>8.8539999999999992</v>
      </c>
      <c r="AH29" s="55">
        <v>10.938000000000001</v>
      </c>
      <c r="AI29" s="55">
        <v>10.257999999999999</v>
      </c>
      <c r="AJ29" s="55">
        <v>11.821999999999999</v>
      </c>
      <c r="AK29" s="55">
        <v>10.933999999999999</v>
      </c>
      <c r="AL29" s="55">
        <v>9.8109999999999999</v>
      </c>
      <c r="AM29" s="55">
        <v>8.1839999999999993</v>
      </c>
      <c r="AN29" s="55">
        <v>7.3289999999999997</v>
      </c>
      <c r="AO29" s="55">
        <v>10.983000000000001</v>
      </c>
      <c r="AR29" s="55">
        <f t="shared" si="3"/>
        <v>9.6149461538461551</v>
      </c>
      <c r="AS29" s="55">
        <f t="shared" si="4"/>
        <v>3.4003848462417601</v>
      </c>
      <c r="AU29" s="55">
        <f t="shared" si="5"/>
        <v>2.403736538461539E-2</v>
      </c>
    </row>
    <row r="31" spans="1:47">
      <c r="A31" s="4" t="s">
        <v>272</v>
      </c>
    </row>
    <row r="32" spans="1:47">
      <c r="A32" s="4"/>
      <c r="B32" t="s">
        <v>293</v>
      </c>
      <c r="C32" t="s">
        <v>311</v>
      </c>
      <c r="D32" t="s">
        <v>312</v>
      </c>
      <c r="E32" t="s">
        <v>313</v>
      </c>
      <c r="F32" t="s">
        <v>90</v>
      </c>
      <c r="G32" t="s">
        <v>45</v>
      </c>
      <c r="H32" t="s">
        <v>362</v>
      </c>
      <c r="I32" t="s">
        <v>361</v>
      </c>
      <c r="J32" s="63" t="s">
        <v>364</v>
      </c>
      <c r="S32" t="s">
        <v>90</v>
      </c>
    </row>
    <row r="33" spans="1:19">
      <c r="A33" s="4"/>
      <c r="B33" t="s">
        <v>76</v>
      </c>
      <c r="C33" s="19">
        <v>4.4999999999999998E-2</v>
      </c>
      <c r="D33">
        <v>5.3199999999999997E-2</v>
      </c>
      <c r="E33">
        <v>5.1799999999999999E-2</v>
      </c>
      <c r="F33" s="19">
        <f>AVERAGE(C33:E33)</f>
        <v>4.9999999999999996E-2</v>
      </c>
      <c r="G33">
        <f>STDEV(C33:E33)</f>
        <v>4.3863424398922612E-3</v>
      </c>
      <c r="R33">
        <v>0</v>
      </c>
      <c r="S33" s="19">
        <v>8.77E-2</v>
      </c>
    </row>
    <row r="34" spans="1:19">
      <c r="A34" s="74" t="s">
        <v>273</v>
      </c>
      <c r="B34" t="s">
        <v>274</v>
      </c>
      <c r="C34" s="19">
        <v>8.77E-2</v>
      </c>
      <c r="D34">
        <v>8.4699999999999998E-2</v>
      </c>
      <c r="E34">
        <v>8.3299999999999999E-2</v>
      </c>
      <c r="F34" s="19">
        <f t="shared" ref="F34:F70" si="6">AVERAGE(C34:E34)</f>
        <v>8.5233333333333328E-2</v>
      </c>
      <c r="G34">
        <f t="shared" ref="G34:G70" si="7">STDEV(C34:E34)</f>
        <v>2.2479620400116494E-3</v>
      </c>
      <c r="H34" s="19">
        <f>F34-0.05</f>
        <v>3.5233333333333325E-2</v>
      </c>
      <c r="I34">
        <f>H34-0.0655/0.7008</f>
        <v>-5.8231278538812797E-2</v>
      </c>
      <c r="J34" s="63">
        <v>-5.8231279000000002E-5</v>
      </c>
      <c r="R34">
        <v>0.625</v>
      </c>
      <c r="S34" s="19">
        <v>0.15090000000000001</v>
      </c>
    </row>
    <row r="35" spans="1:19">
      <c r="A35" s="74"/>
      <c r="B35" t="s">
        <v>275</v>
      </c>
      <c r="C35" s="19">
        <v>0.15090000000000001</v>
      </c>
      <c r="D35">
        <v>0.14849999999999999</v>
      </c>
      <c r="E35">
        <v>0.14380000000000001</v>
      </c>
      <c r="F35" s="19">
        <f t="shared" si="6"/>
        <v>0.14773333333333336</v>
      </c>
      <c r="G35">
        <f t="shared" si="7"/>
        <v>3.6115555282084898E-3</v>
      </c>
      <c r="H35" s="19">
        <f t="shared" ref="H35:H70" si="8">F35-0.05</f>
        <v>9.7733333333333353E-2</v>
      </c>
      <c r="I35">
        <f t="shared" ref="I35:I70" si="9">H35-0.0655/0.7008</f>
        <v>4.2687214611872304E-3</v>
      </c>
      <c r="J35" s="63">
        <v>4.2687210000000003E-6</v>
      </c>
      <c r="R35">
        <v>0.125</v>
      </c>
      <c r="S35" s="19">
        <v>0.1905</v>
      </c>
    </row>
    <row r="36" spans="1:19">
      <c r="A36" s="74"/>
      <c r="B36" t="s">
        <v>276</v>
      </c>
      <c r="C36" s="19">
        <v>0.1905</v>
      </c>
      <c r="D36">
        <v>0.19839999999999999</v>
      </c>
      <c r="E36">
        <v>0.19439999999999999</v>
      </c>
      <c r="F36" s="19">
        <f t="shared" si="6"/>
        <v>0.19443333333333335</v>
      </c>
      <c r="G36">
        <f t="shared" si="7"/>
        <v>3.9501054838236025E-3</v>
      </c>
      <c r="H36" s="19">
        <f t="shared" si="8"/>
        <v>0.14443333333333336</v>
      </c>
      <c r="I36">
        <f t="shared" si="9"/>
        <v>5.0968721461187236E-2</v>
      </c>
      <c r="J36" s="63">
        <v>5.0968721000000003E-5</v>
      </c>
      <c r="R36">
        <v>0.25</v>
      </c>
      <c r="S36" s="19">
        <v>0.29780000000000001</v>
      </c>
    </row>
    <row r="37" spans="1:19">
      <c r="A37" s="74"/>
      <c r="B37" t="s">
        <v>277</v>
      </c>
      <c r="C37" s="19">
        <v>0.29780000000000001</v>
      </c>
      <c r="D37">
        <v>0.28739999999999999</v>
      </c>
      <c r="E37">
        <v>0.29770000000000002</v>
      </c>
      <c r="F37" s="19">
        <f t="shared" si="6"/>
        <v>0.29430000000000001</v>
      </c>
      <c r="G37">
        <f t="shared" si="7"/>
        <v>5.9757844673314795E-3</v>
      </c>
      <c r="H37" s="19">
        <f t="shared" si="8"/>
        <v>0.24430000000000002</v>
      </c>
      <c r="I37">
        <f t="shared" si="9"/>
        <v>0.15083538812785391</v>
      </c>
      <c r="J37" s="63">
        <v>1.5083539999999999E-4</v>
      </c>
      <c r="R37">
        <v>0.5</v>
      </c>
      <c r="S37" s="19">
        <v>0.50480000000000003</v>
      </c>
    </row>
    <row r="38" spans="1:19">
      <c r="A38" s="74"/>
      <c r="B38" t="s">
        <v>278</v>
      </c>
      <c r="C38" s="19">
        <v>0.50480000000000003</v>
      </c>
      <c r="D38">
        <v>0.50839999999999996</v>
      </c>
      <c r="E38">
        <v>0.51819999999999999</v>
      </c>
      <c r="F38" s="19">
        <f t="shared" si="6"/>
        <v>0.51046666666666662</v>
      </c>
      <c r="G38">
        <f t="shared" si="7"/>
        <v>6.9349357122711107E-3</v>
      </c>
      <c r="H38" s="19">
        <f t="shared" si="8"/>
        <v>0.46046666666666664</v>
      </c>
      <c r="I38">
        <f t="shared" si="9"/>
        <v>0.36700205479452053</v>
      </c>
      <c r="J38" s="63">
        <v>3.6700209999999999E-4</v>
      </c>
      <c r="R38">
        <v>1</v>
      </c>
      <c r="S38" s="19">
        <v>0.9032</v>
      </c>
    </row>
    <row r="39" spans="1:19">
      <c r="A39" s="74"/>
      <c r="B39" t="s">
        <v>279</v>
      </c>
      <c r="C39" s="19">
        <v>0.9032</v>
      </c>
      <c r="D39">
        <v>0.98429999999999995</v>
      </c>
      <c r="E39">
        <v>0.94750000000000001</v>
      </c>
      <c r="F39" s="19">
        <f t="shared" si="6"/>
        <v>0.94499999999999995</v>
      </c>
      <c r="G39">
        <f t="shared" si="7"/>
        <v>4.0607757879498815E-2</v>
      </c>
      <c r="H39" s="19">
        <f t="shared" si="8"/>
        <v>0.89499999999999991</v>
      </c>
      <c r="I39">
        <f t="shared" si="9"/>
        <v>0.80153538812785374</v>
      </c>
      <c r="J39" s="63">
        <v>8.0153539999999995E-4</v>
      </c>
      <c r="R39">
        <v>2</v>
      </c>
      <c r="S39" s="19">
        <v>1.4771000000000001</v>
      </c>
    </row>
    <row r="40" spans="1:19">
      <c r="A40" s="74"/>
      <c r="B40" t="s">
        <v>280</v>
      </c>
      <c r="C40" s="19">
        <v>1.4771000000000001</v>
      </c>
      <c r="D40">
        <v>1.4833000000000001</v>
      </c>
      <c r="E40">
        <v>1.4521999999999999</v>
      </c>
      <c r="F40" s="19">
        <f t="shared" si="6"/>
        <v>1.4708666666666665</v>
      </c>
      <c r="G40">
        <f t="shared" si="7"/>
        <v>1.6460356415744337E-2</v>
      </c>
      <c r="H40" s="19">
        <f t="shared" si="8"/>
        <v>1.4208666666666665</v>
      </c>
      <c r="I40">
        <f t="shared" si="9"/>
        <v>1.3274020547945204</v>
      </c>
      <c r="J40" s="63">
        <v>1.3274020999999999E-3</v>
      </c>
    </row>
    <row r="41" spans="1:19">
      <c r="A41" s="74" t="s">
        <v>287</v>
      </c>
      <c r="B41" s="4" t="s">
        <v>284</v>
      </c>
      <c r="C41" s="19">
        <v>2.7536</v>
      </c>
      <c r="D41">
        <v>2.7383999999999999</v>
      </c>
      <c r="E41">
        <v>2.7833999999999999</v>
      </c>
      <c r="F41" s="19">
        <f t="shared" ref="F41:F55" si="10">AVERAGE(C41:E41)</f>
        <v>2.7584666666666666</v>
      </c>
      <c r="G41">
        <f t="shared" ref="G41:G54" si="11">STDEV(C41:E41)</f>
        <v>2.2891337517352082E-2</v>
      </c>
      <c r="H41" s="19">
        <f t="shared" ref="H41:H56" si="12">F41-0.05</f>
        <v>2.7084666666666668</v>
      </c>
      <c r="I41">
        <f t="shared" ref="I41:I56" si="13">H41-0.0655/0.7008</f>
        <v>2.6150020547945205</v>
      </c>
      <c r="J41" s="63">
        <v>2.6150021E-3</v>
      </c>
    </row>
    <row r="42" spans="1:19">
      <c r="A42" s="74"/>
      <c r="B42" s="4" t="s">
        <v>285</v>
      </c>
      <c r="C42" s="19">
        <v>2.6842999999999999</v>
      </c>
      <c r="D42">
        <v>2.6852999999999998</v>
      </c>
      <c r="E42">
        <v>2.6334</v>
      </c>
      <c r="F42" s="19">
        <f t="shared" si="10"/>
        <v>2.6676666666666669</v>
      </c>
      <c r="G42">
        <f t="shared" si="11"/>
        <v>2.9680015723266208E-2</v>
      </c>
      <c r="H42" s="19">
        <f t="shared" si="12"/>
        <v>2.617666666666667</v>
      </c>
      <c r="I42">
        <f t="shared" si="13"/>
        <v>2.5242020547945208</v>
      </c>
      <c r="J42" s="63">
        <v>2.5242021000000002E-3</v>
      </c>
    </row>
    <row r="43" spans="1:19">
      <c r="A43" s="74"/>
      <c r="B43" s="4" t="s">
        <v>286</v>
      </c>
      <c r="C43" s="19">
        <v>3.6747000000000001</v>
      </c>
      <c r="D43">
        <v>3.6392000000000002</v>
      </c>
      <c r="E43">
        <v>3.6193</v>
      </c>
      <c r="F43" s="19">
        <f t="shared" si="10"/>
        <v>3.6443999999999996</v>
      </c>
      <c r="G43">
        <f t="shared" si="11"/>
        <v>2.8063677592218776E-2</v>
      </c>
      <c r="H43" s="19">
        <f t="shared" si="12"/>
        <v>3.5943999999999998</v>
      </c>
      <c r="I43">
        <f t="shared" si="13"/>
        <v>3.5009353881278535</v>
      </c>
      <c r="J43" s="63">
        <v>3.5009353999999999E-3</v>
      </c>
    </row>
    <row r="44" spans="1:19">
      <c r="A44" s="74"/>
      <c r="B44" s="4" t="s">
        <v>288</v>
      </c>
      <c r="C44" s="19">
        <v>4.9585999999999997</v>
      </c>
      <c r="D44">
        <v>4.9884000000000004</v>
      </c>
      <c r="E44">
        <v>4.9123999999999999</v>
      </c>
      <c r="F44" s="19">
        <f t="shared" si="10"/>
        <v>4.9531333333333327</v>
      </c>
      <c r="G44">
        <f t="shared" si="11"/>
        <v>3.8293776691955446E-2</v>
      </c>
      <c r="H44" s="19">
        <f t="shared" si="12"/>
        <v>4.9031333333333329</v>
      </c>
      <c r="I44">
        <f t="shared" si="13"/>
        <v>4.8096687214611871</v>
      </c>
      <c r="J44" s="63">
        <v>4.8096687000000003E-3</v>
      </c>
    </row>
    <row r="45" spans="1:19">
      <c r="A45" s="74"/>
      <c r="B45" s="4" t="s">
        <v>289</v>
      </c>
      <c r="C45" s="19">
        <v>2.1930000000000001</v>
      </c>
      <c r="D45">
        <v>2.1233</v>
      </c>
      <c r="E45">
        <v>2.1284000000000001</v>
      </c>
      <c r="F45" s="19">
        <f t="shared" si="10"/>
        <v>2.1482333333333332</v>
      </c>
      <c r="G45">
        <f t="shared" si="11"/>
        <v>3.8852842023889778E-2</v>
      </c>
      <c r="H45" s="19">
        <f t="shared" si="12"/>
        <v>2.0982333333333334</v>
      </c>
      <c r="I45">
        <f t="shared" si="13"/>
        <v>2.0047687214611871</v>
      </c>
      <c r="J45" s="63">
        <v>2.0047686999999999E-3</v>
      </c>
    </row>
    <row r="46" spans="1:19">
      <c r="A46" s="74"/>
      <c r="B46" s="4" t="s">
        <v>369</v>
      </c>
      <c r="C46" s="19">
        <v>3.7284999999999999</v>
      </c>
      <c r="D46">
        <v>3.7238000000000002</v>
      </c>
      <c r="E46">
        <v>3.7292999999999998</v>
      </c>
      <c r="F46" s="19">
        <f t="shared" si="10"/>
        <v>3.7271999999999998</v>
      </c>
      <c r="G46">
        <f t="shared" si="11"/>
        <v>2.9715315916205246E-3</v>
      </c>
      <c r="H46" s="19">
        <f t="shared" si="12"/>
        <v>3.6772</v>
      </c>
      <c r="I46">
        <f t="shared" si="13"/>
        <v>3.5837353881278537</v>
      </c>
      <c r="J46" s="63">
        <v>3.5837353999999999E-3</v>
      </c>
    </row>
    <row r="47" spans="1:19">
      <c r="A47" s="74"/>
      <c r="B47" s="4" t="s">
        <v>370</v>
      </c>
      <c r="C47" s="19">
        <v>2.4274</v>
      </c>
      <c r="D47">
        <v>2.4127999999999998</v>
      </c>
      <c r="E47">
        <v>2.484</v>
      </c>
      <c r="F47" s="19">
        <f t="shared" si="10"/>
        <v>2.4413999999999998</v>
      </c>
      <c r="G47">
        <f t="shared" si="11"/>
        <v>3.7607977877040982E-2</v>
      </c>
      <c r="H47" s="19">
        <f t="shared" si="12"/>
        <v>2.3914</v>
      </c>
      <c r="I47">
        <f t="shared" si="13"/>
        <v>2.2979353881278537</v>
      </c>
      <c r="J47" s="63">
        <v>2.2979353999999998E-3</v>
      </c>
    </row>
    <row r="48" spans="1:19">
      <c r="A48" s="74"/>
      <c r="B48" s="4" t="s">
        <v>371</v>
      </c>
      <c r="C48" s="19">
        <v>2.2280000000000002</v>
      </c>
      <c r="D48">
        <v>2.258</v>
      </c>
      <c r="E48">
        <v>2.2210000000000001</v>
      </c>
      <c r="F48" s="19">
        <f t="shared" si="10"/>
        <v>2.2356666666666669</v>
      </c>
      <c r="G48">
        <f t="shared" si="11"/>
        <v>1.9655363983740688E-2</v>
      </c>
      <c r="H48" s="19">
        <f t="shared" si="12"/>
        <v>2.1856666666666671</v>
      </c>
      <c r="I48">
        <f t="shared" si="13"/>
        <v>2.0922020547945208</v>
      </c>
      <c r="J48" s="63">
        <v>2.0922021000000001E-3</v>
      </c>
    </row>
    <row r="49" spans="1:10">
      <c r="A49" s="74"/>
      <c r="B49" s="4" t="s">
        <v>372</v>
      </c>
      <c r="C49" s="19">
        <v>4.4850000000000003</v>
      </c>
      <c r="D49">
        <v>1.423</v>
      </c>
      <c r="E49">
        <v>1.4330000000000001</v>
      </c>
      <c r="F49" s="19">
        <f t="shared" si="10"/>
        <v>2.4470000000000001</v>
      </c>
      <c r="G49">
        <f t="shared" si="11"/>
        <v>1.7649668552128681</v>
      </c>
      <c r="H49" s="19">
        <f t="shared" si="12"/>
        <v>2.3970000000000002</v>
      </c>
      <c r="I49">
        <f t="shared" si="13"/>
        <v>2.303535388127854</v>
      </c>
      <c r="J49" s="63">
        <v>2.3035353999999999E-3</v>
      </c>
    </row>
    <row r="50" spans="1:10">
      <c r="A50" s="74"/>
      <c r="B50" s="4" t="s">
        <v>373</v>
      </c>
      <c r="C50" s="19">
        <v>4.7380000000000004</v>
      </c>
      <c r="D50">
        <v>1.728</v>
      </c>
      <c r="E50">
        <v>1.7122999999999999</v>
      </c>
      <c r="F50" s="19">
        <f t="shared" si="10"/>
        <v>2.7261000000000002</v>
      </c>
      <c r="G50">
        <f t="shared" si="11"/>
        <v>1.7423741934498465</v>
      </c>
      <c r="H50" s="19">
        <f t="shared" si="12"/>
        <v>2.6761000000000004</v>
      </c>
      <c r="I50">
        <f t="shared" si="13"/>
        <v>2.5826353881278541</v>
      </c>
      <c r="J50" s="63">
        <v>2.5826353999999999E-3</v>
      </c>
    </row>
    <row r="51" spans="1:10">
      <c r="A51" s="74"/>
      <c r="B51" s="4" t="s">
        <v>281</v>
      </c>
      <c r="C51" s="19">
        <v>4.2214999999999998</v>
      </c>
      <c r="D51">
        <v>4.3840000000000003</v>
      </c>
      <c r="E51">
        <v>4.2294</v>
      </c>
      <c r="F51" s="19">
        <f t="shared" si="10"/>
        <v>4.2782999999999998</v>
      </c>
      <c r="G51">
        <f t="shared" si="11"/>
        <v>9.1624068890221441E-2</v>
      </c>
      <c r="H51" s="19">
        <f t="shared" si="12"/>
        <v>4.2282999999999999</v>
      </c>
      <c r="I51">
        <f t="shared" si="13"/>
        <v>4.1348353881278541</v>
      </c>
      <c r="J51" s="63">
        <v>4.1348354E-3</v>
      </c>
    </row>
    <row r="52" spans="1:10">
      <c r="A52" s="74"/>
      <c r="B52" s="4" t="s">
        <v>282</v>
      </c>
      <c r="C52" s="19">
        <v>4.3449</v>
      </c>
      <c r="D52">
        <v>4.3912000000000004</v>
      </c>
      <c r="E52">
        <v>4.3433000000000002</v>
      </c>
      <c r="F52" s="19">
        <f t="shared" si="10"/>
        <v>4.3597999999999999</v>
      </c>
      <c r="G52">
        <f t="shared" si="11"/>
        <v>2.7204962782551481E-2</v>
      </c>
      <c r="H52" s="19">
        <f t="shared" si="12"/>
        <v>4.3098000000000001</v>
      </c>
      <c r="I52">
        <f t="shared" si="13"/>
        <v>4.2163353881278542</v>
      </c>
      <c r="J52" s="63">
        <v>4.2163354E-3</v>
      </c>
    </row>
    <row r="53" spans="1:10">
      <c r="A53" s="74"/>
      <c r="B53" s="4" t="s">
        <v>283</v>
      </c>
      <c r="C53" s="19">
        <v>4.8795000000000002</v>
      </c>
      <c r="D53">
        <v>4.8673000000000002</v>
      </c>
      <c r="E53">
        <v>4.8212999999999999</v>
      </c>
      <c r="F53" s="19">
        <f t="shared" si="10"/>
        <v>4.8560333333333334</v>
      </c>
      <c r="G53">
        <f t="shared" si="11"/>
        <v>3.0692235717414629E-2</v>
      </c>
      <c r="H53" s="19">
        <f t="shared" si="12"/>
        <v>4.8060333333333336</v>
      </c>
      <c r="I53">
        <f t="shared" si="13"/>
        <v>4.7125687214611878</v>
      </c>
      <c r="J53" s="63">
        <v>4.7125687000000001E-3</v>
      </c>
    </row>
    <row r="54" spans="1:10">
      <c r="A54" s="74"/>
      <c r="B54" s="4" t="s">
        <v>290</v>
      </c>
      <c r="C54" s="19">
        <v>4.9943</v>
      </c>
      <c r="D54">
        <v>4.3532000000000002</v>
      </c>
      <c r="E54">
        <v>4.3220999999999998</v>
      </c>
      <c r="F54" s="19">
        <f t="shared" si="10"/>
        <v>4.5565333333333333</v>
      </c>
      <c r="G54">
        <f t="shared" si="11"/>
        <v>0.37943582241708979</v>
      </c>
      <c r="H54" s="19">
        <f t="shared" si="12"/>
        <v>4.5065333333333335</v>
      </c>
      <c r="I54">
        <f t="shared" si="13"/>
        <v>4.4130687214611877</v>
      </c>
      <c r="J54" s="63">
        <v>4.4130686999999998E-3</v>
      </c>
    </row>
    <row r="55" spans="1:10">
      <c r="A55" s="74"/>
      <c r="B55" s="4" t="s">
        <v>291</v>
      </c>
      <c r="C55" s="19">
        <v>2.8942999999999999</v>
      </c>
      <c r="D55">
        <v>2.8521999999999998</v>
      </c>
      <c r="E55">
        <v>2.8172999999999999</v>
      </c>
      <c r="F55" s="19">
        <f t="shared" si="10"/>
        <v>2.8545999999999996</v>
      </c>
      <c r="G55">
        <f t="shared" ref="G55:G60" si="14">STDEV(C55:E55)</f>
        <v>3.8556063077031071E-2</v>
      </c>
      <c r="H55" s="19">
        <f t="shared" si="12"/>
        <v>2.8045999999999998</v>
      </c>
      <c r="I55">
        <f t="shared" si="13"/>
        <v>2.7111353881278535</v>
      </c>
      <c r="J55" s="63">
        <v>2.7111354000000001E-3</v>
      </c>
    </row>
    <row r="56" spans="1:10">
      <c r="A56" s="74"/>
      <c r="B56" s="4" t="s">
        <v>374</v>
      </c>
      <c r="C56" s="19">
        <v>2.194</v>
      </c>
      <c r="D56">
        <v>2.1190000000000002</v>
      </c>
      <c r="E56">
        <v>2.593</v>
      </c>
      <c r="F56" s="19">
        <f t="shared" ref="F56:F60" si="15">AVERAGE(C56:E56)</f>
        <v>2.302</v>
      </c>
      <c r="G56">
        <f t="shared" si="14"/>
        <v>0.25478814729103855</v>
      </c>
      <c r="H56" s="19">
        <f t="shared" si="12"/>
        <v>2.2520000000000002</v>
      </c>
      <c r="I56">
        <f t="shared" si="13"/>
        <v>2.1585353881278539</v>
      </c>
      <c r="J56" s="63">
        <v>2.1585354000000002E-3</v>
      </c>
    </row>
    <row r="57" spans="1:10">
      <c r="A57" s="74"/>
      <c r="B57" s="4" t="s">
        <v>375</v>
      </c>
      <c r="C57" s="19">
        <v>2.1240000000000001</v>
      </c>
      <c r="D57">
        <v>2.4929999999999999</v>
      </c>
      <c r="E57">
        <v>2.1120000000000001</v>
      </c>
      <c r="F57" s="19">
        <f t="shared" si="15"/>
        <v>2.2429999999999999</v>
      </c>
      <c r="G57">
        <f t="shared" si="14"/>
        <v>0.21658947342841928</v>
      </c>
      <c r="H57" s="19">
        <f t="shared" ref="H57:H60" si="16">F57-0.05</f>
        <v>2.1930000000000001</v>
      </c>
      <c r="I57">
        <f t="shared" ref="I57:I60" si="17">H57-0.0655/0.7008</f>
        <v>2.0995353881278538</v>
      </c>
      <c r="J57" s="63">
        <v>2.0995354000000002E-3</v>
      </c>
    </row>
    <row r="58" spans="1:10">
      <c r="A58" s="74"/>
      <c r="B58" s="4" t="s">
        <v>376</v>
      </c>
      <c r="C58" s="19">
        <v>2.4192999999999998</v>
      </c>
      <c r="D58">
        <v>2.3290000000000002</v>
      </c>
      <c r="E58">
        <v>2.194</v>
      </c>
      <c r="F58" s="19">
        <f t="shared" si="15"/>
        <v>2.3141000000000003</v>
      </c>
      <c r="G58">
        <f t="shared" si="14"/>
        <v>0.11338663942458117</v>
      </c>
      <c r="H58" s="19">
        <f t="shared" si="16"/>
        <v>2.2641000000000004</v>
      </c>
      <c r="I58">
        <f t="shared" si="17"/>
        <v>2.1706353881278542</v>
      </c>
      <c r="J58" s="63">
        <v>2.1706353999999999E-3</v>
      </c>
    </row>
    <row r="59" spans="1:10">
      <c r="A59" s="74"/>
      <c r="B59" s="4" t="s">
        <v>377</v>
      </c>
      <c r="C59" t="s">
        <v>380</v>
      </c>
      <c r="D59">
        <v>1.294</v>
      </c>
      <c r="E59">
        <v>1.423</v>
      </c>
      <c r="F59" s="19">
        <f t="shared" si="15"/>
        <v>1.3585</v>
      </c>
      <c r="G59">
        <f t="shared" si="14"/>
        <v>9.1216774773064627E-2</v>
      </c>
      <c r="H59" s="19">
        <f t="shared" si="16"/>
        <v>1.3085</v>
      </c>
      <c r="I59">
        <f t="shared" si="17"/>
        <v>1.2150353881278539</v>
      </c>
      <c r="J59" s="63">
        <v>1.2150354000000001E-3</v>
      </c>
    </row>
    <row r="60" spans="1:10">
      <c r="A60" s="74"/>
      <c r="B60" s="4" t="s">
        <v>378</v>
      </c>
      <c r="C60" s="19">
        <v>1.2210000000000001</v>
      </c>
      <c r="D60">
        <v>1.2350000000000001</v>
      </c>
      <c r="E60">
        <v>1.2944</v>
      </c>
      <c r="F60" s="19">
        <f t="shared" si="15"/>
        <v>1.2501333333333335</v>
      </c>
      <c r="G60">
        <f t="shared" si="14"/>
        <v>3.8969902916652602E-2</v>
      </c>
      <c r="H60" s="19">
        <f t="shared" si="16"/>
        <v>1.2001333333333335</v>
      </c>
      <c r="I60">
        <f t="shared" si="17"/>
        <v>1.1066687214611874</v>
      </c>
      <c r="J60" s="63">
        <v>1.1066686999999999E-3</v>
      </c>
    </row>
    <row r="61" spans="1:10">
      <c r="A61" s="74" t="s">
        <v>292</v>
      </c>
      <c r="B61" s="4" t="s">
        <v>284</v>
      </c>
      <c r="C61" s="19">
        <v>0.39200000000000002</v>
      </c>
      <c r="D61">
        <v>0.32940000000000003</v>
      </c>
      <c r="E61">
        <v>0.31909999999999999</v>
      </c>
      <c r="F61" s="19">
        <f>AVERAGE(C61:E61)</f>
        <v>0.34683333333333333</v>
      </c>
      <c r="G61">
        <f>STDEV(C61:E61)</f>
        <v>3.9453052268909862E-2</v>
      </c>
      <c r="H61" s="19">
        <f>F61-0.05</f>
        <v>0.29683333333333334</v>
      </c>
      <c r="I61">
        <f>H61-0.0655/0.7008</f>
        <v>0.20336872146118723</v>
      </c>
      <c r="J61" s="63">
        <v>2.0336869999999999E-4</v>
      </c>
    </row>
    <row r="62" spans="1:10">
      <c r="A62" s="74"/>
      <c r="B62" s="4" t="s">
        <v>285</v>
      </c>
      <c r="C62" s="19">
        <v>0.41220000000000001</v>
      </c>
      <c r="D62">
        <v>0.44529999999999997</v>
      </c>
      <c r="E62">
        <v>0.4239</v>
      </c>
      <c r="F62" s="19">
        <f>AVERAGE(C62:E62)</f>
        <v>0.42713333333333331</v>
      </c>
      <c r="G62">
        <f>STDEV(C62:E62)</f>
        <v>1.6785211745263526E-2</v>
      </c>
      <c r="H62" s="19">
        <f>F62-0.05</f>
        <v>0.37713333333333332</v>
      </c>
      <c r="I62">
        <f>H62-0.0655/0.7008</f>
        <v>0.28366872146118721</v>
      </c>
      <c r="J62" s="63">
        <v>2.8366870000000002E-4</v>
      </c>
    </row>
    <row r="63" spans="1:10">
      <c r="A63" s="74"/>
      <c r="B63" s="4" t="s">
        <v>286</v>
      </c>
      <c r="C63" s="19">
        <v>9.4799999999999995E-2</v>
      </c>
      <c r="D63">
        <v>4.9500000000000002E-2</v>
      </c>
      <c r="E63">
        <v>7.8399999999999997E-2</v>
      </c>
      <c r="F63" s="19">
        <f>AVERAGE(C63:E63)</f>
        <v>7.4233333333333332E-2</v>
      </c>
      <c r="G63">
        <f>STDEV(C63:E63)</f>
        <v>2.2935634574463674E-2</v>
      </c>
      <c r="H63" s="19">
        <f>F63-0.05</f>
        <v>2.4233333333333329E-2</v>
      </c>
      <c r="I63">
        <f>H63-0.0655/0.7008</f>
        <v>-6.9231278538812793E-2</v>
      </c>
      <c r="J63" s="63">
        <v>-6.9231278999999998E-5</v>
      </c>
    </row>
    <row r="64" spans="1:10">
      <c r="A64" s="74"/>
      <c r="B64" s="4" t="s">
        <v>288</v>
      </c>
      <c r="C64" s="19">
        <v>0.83940000000000003</v>
      </c>
      <c r="D64">
        <v>0.84470000000000001</v>
      </c>
      <c r="E64">
        <v>0.85119999999999996</v>
      </c>
      <c r="F64" s="19">
        <f>AVERAGE(C64:E64)</f>
        <v>0.84509999999999996</v>
      </c>
      <c r="G64">
        <f>STDEV(C64:E64)</f>
        <v>5.9101607423148426E-3</v>
      </c>
      <c r="H64" s="19">
        <f>F64-0.05</f>
        <v>0.79509999999999992</v>
      </c>
      <c r="I64">
        <f>H64-0.0655/0.7008</f>
        <v>0.70163538812785375</v>
      </c>
      <c r="J64" s="63">
        <v>7.0163539999999996E-4</v>
      </c>
    </row>
    <row r="65" spans="1:10">
      <c r="A65" s="74"/>
      <c r="B65" s="4" t="s">
        <v>289</v>
      </c>
      <c r="C65" s="19">
        <v>1.429</v>
      </c>
      <c r="D65">
        <v>1.3712</v>
      </c>
      <c r="E65">
        <v>1.3320000000000001</v>
      </c>
      <c r="F65" s="19">
        <f>AVERAGE(C65:E65)</f>
        <v>1.3774</v>
      </c>
      <c r="G65">
        <f>STDEV(C65:E65)</f>
        <v>4.879631133600161E-2</v>
      </c>
      <c r="H65" s="19">
        <f>F65-0.05</f>
        <v>1.3273999999999999</v>
      </c>
      <c r="I65">
        <f>H65-0.0655/0.7008</f>
        <v>1.2339353881278539</v>
      </c>
      <c r="J65" s="63">
        <v>1.2339353999999999E-3</v>
      </c>
    </row>
    <row r="66" spans="1:10">
      <c r="A66" s="74"/>
      <c r="B66" s="4" t="s">
        <v>369</v>
      </c>
      <c r="C66" s="19">
        <v>0.89500000000000002</v>
      </c>
      <c r="D66">
        <v>0.84950000000000003</v>
      </c>
      <c r="E66">
        <v>0.82240000000000002</v>
      </c>
      <c r="F66" s="19">
        <f t="shared" si="6"/>
        <v>0.85563333333333336</v>
      </c>
      <c r="G66">
        <f t="shared" si="7"/>
        <v>3.6686555212139135E-2</v>
      </c>
      <c r="H66" s="19">
        <f t="shared" si="8"/>
        <v>0.80563333333333331</v>
      </c>
      <c r="I66">
        <f t="shared" si="9"/>
        <v>0.71216872146118715</v>
      </c>
      <c r="J66" s="63">
        <v>7.1216870000000002E-4</v>
      </c>
    </row>
    <row r="67" spans="1:10">
      <c r="A67" s="74"/>
      <c r="B67" s="4" t="s">
        <v>379</v>
      </c>
      <c r="C67" s="19">
        <v>0.94620000000000004</v>
      </c>
      <c r="D67">
        <v>0.94850000000000001</v>
      </c>
      <c r="E67">
        <v>0.92830000000000001</v>
      </c>
      <c r="F67" s="19">
        <f t="shared" si="6"/>
        <v>0.94099999999999995</v>
      </c>
      <c r="G67">
        <f t="shared" si="7"/>
        <v>1.1058480908334566E-2</v>
      </c>
      <c r="H67" s="19">
        <f t="shared" si="8"/>
        <v>0.8909999999999999</v>
      </c>
      <c r="I67">
        <f t="shared" si="9"/>
        <v>0.79753538812785374</v>
      </c>
      <c r="J67" s="63">
        <v>7.9753539999999996E-4</v>
      </c>
    </row>
    <row r="68" spans="1:10">
      <c r="A68" s="74"/>
      <c r="B68" s="4" t="s">
        <v>371</v>
      </c>
      <c r="C68" s="19">
        <v>1.1294</v>
      </c>
      <c r="D68">
        <v>1.1393</v>
      </c>
      <c r="E68">
        <v>1.1284000000000001</v>
      </c>
      <c r="F68" s="19">
        <f t="shared" si="6"/>
        <v>1.1323666666666667</v>
      </c>
      <c r="G68">
        <f t="shared" si="7"/>
        <v>6.0252247537608949E-3</v>
      </c>
      <c r="H68" s="19">
        <f t="shared" si="8"/>
        <v>1.0823666666666667</v>
      </c>
      <c r="I68">
        <f t="shared" si="9"/>
        <v>0.98890205479452054</v>
      </c>
      <c r="J68" s="63">
        <v>9.8890210000000009E-4</v>
      </c>
    </row>
    <row r="69" spans="1:10">
      <c r="A69" s="74"/>
      <c r="B69" s="4" t="s">
        <v>372</v>
      </c>
      <c r="C69" s="19">
        <v>1.331</v>
      </c>
      <c r="D69">
        <v>1.3111999999999999</v>
      </c>
      <c r="E69">
        <v>1.3919999999999999</v>
      </c>
      <c r="F69" s="19">
        <f t="shared" si="6"/>
        <v>1.3447333333333333</v>
      </c>
      <c r="G69">
        <f t="shared" si="7"/>
        <v>4.2114288944885822E-2</v>
      </c>
      <c r="H69" s="19">
        <f t="shared" si="8"/>
        <v>1.2947333333333333</v>
      </c>
      <c r="I69">
        <f t="shared" si="9"/>
        <v>1.2012687214611872</v>
      </c>
      <c r="J69" s="63">
        <v>1.2012686999999999E-3</v>
      </c>
    </row>
    <row r="70" spans="1:10">
      <c r="A70" s="74"/>
      <c r="B70" s="4" t="s">
        <v>373</v>
      </c>
      <c r="C70" s="19">
        <v>0.98409999999999997</v>
      </c>
      <c r="D70">
        <v>0.88929999999999998</v>
      </c>
      <c r="E70">
        <v>0.91830000000000001</v>
      </c>
      <c r="F70" s="19">
        <f t="shared" si="6"/>
        <v>0.93056666666666665</v>
      </c>
      <c r="G70">
        <f t="shared" si="7"/>
        <v>4.8575851339254288E-2</v>
      </c>
      <c r="H70" s="19">
        <f t="shared" si="8"/>
        <v>0.88056666666666661</v>
      </c>
      <c r="I70">
        <f t="shared" si="9"/>
        <v>0.78710205479452044</v>
      </c>
      <c r="J70" s="63">
        <v>7.8710209999999995E-4</v>
      </c>
    </row>
    <row r="71" spans="1:10">
      <c r="A71" s="74"/>
      <c r="B71" s="4" t="s">
        <v>281</v>
      </c>
      <c r="C71" s="19">
        <v>0.48520000000000002</v>
      </c>
      <c r="D71">
        <v>0.42930000000000001</v>
      </c>
      <c r="E71">
        <v>0.52829999999999999</v>
      </c>
      <c r="F71" s="19">
        <f t="shared" ref="F71:F80" si="18">AVERAGE(C71:E71)</f>
        <v>0.48093333333333338</v>
      </c>
      <c r="G71">
        <f t="shared" ref="G71:G80" si="19">STDEV(C71:E71)</f>
        <v>4.9637720871665049E-2</v>
      </c>
      <c r="H71" s="19">
        <f t="shared" ref="H71:H80" si="20">F71-0.05</f>
        <v>0.43093333333333339</v>
      </c>
      <c r="I71">
        <f t="shared" ref="I71:I80" si="21">H71-0.0655/0.7008</f>
        <v>0.33746872146118728</v>
      </c>
      <c r="J71" s="63">
        <v>3.3746870000000002E-4</v>
      </c>
    </row>
    <row r="72" spans="1:10">
      <c r="A72" s="74"/>
      <c r="B72" s="4" t="s">
        <v>282</v>
      </c>
      <c r="C72" s="19">
        <v>0.22900000000000001</v>
      </c>
      <c r="D72">
        <v>0.24929999999999999</v>
      </c>
      <c r="E72">
        <v>0.21940000000000001</v>
      </c>
      <c r="F72" s="19">
        <f t="shared" si="18"/>
        <v>0.23256666666666667</v>
      </c>
      <c r="G72">
        <f t="shared" si="19"/>
        <v>1.5265756887011303E-2</v>
      </c>
      <c r="H72" s="19">
        <f t="shared" si="20"/>
        <v>0.18256666666666665</v>
      </c>
      <c r="I72">
        <f t="shared" si="21"/>
        <v>8.9102054794520533E-2</v>
      </c>
      <c r="J72" s="63">
        <v>8.9102054999999999E-5</v>
      </c>
    </row>
    <row r="73" spans="1:10">
      <c r="A73" s="74"/>
      <c r="B73" s="4" t="s">
        <v>283</v>
      </c>
      <c r="C73" s="19">
        <v>0.58599999999999997</v>
      </c>
      <c r="D73">
        <v>0.52839999999999998</v>
      </c>
      <c r="E73">
        <v>0.52929999999999999</v>
      </c>
      <c r="F73" s="19">
        <f t="shared" si="18"/>
        <v>0.54789999999999994</v>
      </c>
      <c r="G73">
        <f t="shared" si="19"/>
        <v>3.2998636335460879E-2</v>
      </c>
      <c r="H73" s="19">
        <f t="shared" si="20"/>
        <v>0.49789999999999995</v>
      </c>
      <c r="I73">
        <f t="shared" si="21"/>
        <v>0.40443538812785385</v>
      </c>
      <c r="J73" s="63">
        <v>4.044354E-4</v>
      </c>
    </row>
    <row r="74" spans="1:10">
      <c r="A74" s="74"/>
      <c r="B74" s="4" t="s">
        <v>290</v>
      </c>
      <c r="C74" s="19">
        <v>1.014</v>
      </c>
      <c r="D74">
        <v>1.0013000000000001</v>
      </c>
      <c r="E74">
        <v>1.0121</v>
      </c>
      <c r="F74" s="19">
        <f t="shared" si="18"/>
        <v>1.0091333333333334</v>
      </c>
      <c r="G74">
        <f t="shared" si="19"/>
        <v>6.8500608269805004E-3</v>
      </c>
      <c r="H74" s="19">
        <f t="shared" si="20"/>
        <v>0.95913333333333339</v>
      </c>
      <c r="I74">
        <f t="shared" si="21"/>
        <v>0.86566872146118723</v>
      </c>
      <c r="J74" s="63">
        <v>8.6566870000000001E-4</v>
      </c>
    </row>
    <row r="75" spans="1:10">
      <c r="A75" s="74"/>
      <c r="B75" s="4" t="s">
        <v>291</v>
      </c>
      <c r="C75" s="19">
        <v>0.98429999999999995</v>
      </c>
      <c r="D75">
        <v>0.93210000000000004</v>
      </c>
      <c r="E75">
        <v>0.89480000000000004</v>
      </c>
      <c r="F75" s="19">
        <f t="shared" si="18"/>
        <v>0.9370666666666666</v>
      </c>
      <c r="G75">
        <f t="shared" si="19"/>
        <v>4.4956237980210589E-2</v>
      </c>
      <c r="H75" s="19">
        <f t="shared" si="20"/>
        <v>0.88706666666666656</v>
      </c>
      <c r="I75">
        <f t="shared" si="21"/>
        <v>0.7936020547945204</v>
      </c>
      <c r="J75" s="63">
        <v>7.9360209999999995E-4</v>
      </c>
    </row>
    <row r="76" spans="1:10">
      <c r="A76" s="74"/>
      <c r="B76" s="4" t="s">
        <v>374</v>
      </c>
      <c r="C76" s="19">
        <v>0.4723</v>
      </c>
      <c r="D76">
        <v>0.41099999999999998</v>
      </c>
      <c r="E76">
        <v>0.49120000000000003</v>
      </c>
      <c r="F76" s="19">
        <f t="shared" si="18"/>
        <v>0.45816666666666667</v>
      </c>
      <c r="G76">
        <f t="shared" si="19"/>
        <v>4.1926403772960724E-2</v>
      </c>
      <c r="H76" s="19">
        <f t="shared" si="20"/>
        <v>0.40816666666666668</v>
      </c>
      <c r="I76">
        <f t="shared" si="21"/>
        <v>0.31470205479452057</v>
      </c>
      <c r="J76" s="63">
        <v>3.1470210000000002E-4</v>
      </c>
    </row>
    <row r="77" spans="1:10">
      <c r="A77" s="74"/>
      <c r="B77" s="4" t="s">
        <v>375</v>
      </c>
      <c r="C77" s="19">
        <v>0.33939999999999998</v>
      </c>
      <c r="D77">
        <v>0.33189999999999997</v>
      </c>
      <c r="E77">
        <v>0.31340000000000001</v>
      </c>
      <c r="F77" s="19">
        <f t="shared" si="18"/>
        <v>0.32823333333333332</v>
      </c>
      <c r="G77">
        <f t="shared" si="19"/>
        <v>1.3382202110763866E-2</v>
      </c>
      <c r="H77" s="19">
        <f t="shared" si="20"/>
        <v>0.27823333333333333</v>
      </c>
      <c r="I77">
        <f t="shared" si="21"/>
        <v>0.18476872146118722</v>
      </c>
      <c r="J77" s="63">
        <v>1.847687E-4</v>
      </c>
    </row>
    <row r="78" spans="1:10">
      <c r="A78" s="74"/>
      <c r="B78" s="4" t="s">
        <v>376</v>
      </c>
      <c r="C78" s="19">
        <v>0.1835</v>
      </c>
      <c r="D78">
        <v>0.14849999999999999</v>
      </c>
      <c r="E78">
        <v>0.1283</v>
      </c>
      <c r="F78" s="19">
        <f t="shared" si="18"/>
        <v>0.15343333333333331</v>
      </c>
      <c r="G78">
        <f t="shared" si="19"/>
        <v>2.7928718791475848E-2</v>
      </c>
      <c r="H78" s="19">
        <f t="shared" si="20"/>
        <v>0.10343333333333331</v>
      </c>
      <c r="I78">
        <f t="shared" si="21"/>
        <v>9.9687214611871855E-3</v>
      </c>
      <c r="J78" s="63">
        <v>9.9687210000000007E-6</v>
      </c>
    </row>
    <row r="79" spans="1:10">
      <c r="A79" s="74"/>
      <c r="B79" s="4" t="s">
        <v>377</v>
      </c>
      <c r="C79" s="19">
        <v>0.22839999999999999</v>
      </c>
      <c r="D79">
        <v>0.21240000000000001</v>
      </c>
      <c r="E79">
        <v>0.21840000000000001</v>
      </c>
      <c r="F79" s="19">
        <f t="shared" si="18"/>
        <v>0.21973333333333334</v>
      </c>
      <c r="G79">
        <f t="shared" si="19"/>
        <v>8.0829037686547534E-3</v>
      </c>
      <c r="H79" s="19">
        <f t="shared" si="20"/>
        <v>0.16973333333333335</v>
      </c>
      <c r="I79">
        <f t="shared" si="21"/>
        <v>7.6268721461187225E-2</v>
      </c>
      <c r="J79" s="63">
        <v>7.6268721000000001E-5</v>
      </c>
    </row>
    <row r="80" spans="1:10">
      <c r="A80" s="74"/>
      <c r="B80" s="4" t="s">
        <v>378</v>
      </c>
      <c r="C80" s="19">
        <v>0.38419999999999999</v>
      </c>
      <c r="D80">
        <v>0.31109999999999999</v>
      </c>
      <c r="E80">
        <v>0.3952</v>
      </c>
      <c r="F80" s="19">
        <f t="shared" si="18"/>
        <v>0.36349999999999999</v>
      </c>
      <c r="G80">
        <f t="shared" si="19"/>
        <v>4.5711814665357411E-2</v>
      </c>
      <c r="H80" s="19">
        <f t="shared" si="20"/>
        <v>0.3135</v>
      </c>
      <c r="I80">
        <f t="shared" si="21"/>
        <v>0.22003538812785389</v>
      </c>
      <c r="J80" s="63">
        <v>2.2003539999999999E-4</v>
      </c>
    </row>
    <row r="81" spans="8:8">
      <c r="H81" s="19"/>
    </row>
  </sheetData>
  <mergeCells count="8">
    <mergeCell ref="C2:AO2"/>
    <mergeCell ref="A61:A80"/>
    <mergeCell ref="C4:AP4"/>
    <mergeCell ref="A34:A40"/>
    <mergeCell ref="A41:A60"/>
    <mergeCell ref="A5:A14"/>
    <mergeCell ref="A20:A28"/>
    <mergeCell ref="C18:AO18"/>
  </mergeCells>
  <pageMargins left="0.7" right="0.7" top="0.75" bottom="0.75" header="0.3" footer="0.3"/>
  <pageSetup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1"/>
  <sheetViews>
    <sheetView zoomScale="80" zoomScaleNormal="80" workbookViewId="0">
      <selection activeCell="I32" sqref="I32"/>
    </sheetView>
  </sheetViews>
  <sheetFormatPr defaultRowHeight="15"/>
  <cols>
    <col min="1" max="1" width="26" customWidth="1"/>
    <col min="2" max="2" width="13.85546875" customWidth="1"/>
    <col min="5" max="5" width="14.5703125" customWidth="1"/>
    <col min="7" max="7" width="11.7109375" customWidth="1"/>
    <col min="8" max="8" width="16.28515625" customWidth="1"/>
    <col min="9" max="9" width="23" customWidth="1"/>
    <col min="10" max="10" width="21.42578125" customWidth="1"/>
  </cols>
  <sheetData>
    <row r="1" spans="1:17">
      <c r="A1" t="s">
        <v>417</v>
      </c>
    </row>
    <row r="3" spans="1:17">
      <c r="A3" s="4" t="s">
        <v>317</v>
      </c>
      <c r="C3" s="64"/>
    </row>
    <row r="4" spans="1:17">
      <c r="A4" s="64" t="s">
        <v>366</v>
      </c>
    </row>
    <row r="5" spans="1:17" ht="15.75" thickBot="1">
      <c r="A5" s="56"/>
      <c r="B5" s="56" t="s">
        <v>318</v>
      </c>
      <c r="C5" s="56"/>
      <c r="D5" s="56"/>
      <c r="E5" s="56"/>
      <c r="F5" s="56"/>
      <c r="G5" s="56"/>
      <c r="H5" s="56"/>
      <c r="J5" s="56"/>
      <c r="K5" s="56"/>
      <c r="L5" s="56"/>
    </row>
    <row r="6" spans="1:17" ht="90" thickBot="1">
      <c r="A6" s="57" t="s">
        <v>365</v>
      </c>
      <c r="B6" s="57" t="s">
        <v>320</v>
      </c>
      <c r="C6" s="57" t="s">
        <v>368</v>
      </c>
      <c r="D6" s="58" t="s">
        <v>367</v>
      </c>
      <c r="E6" s="57" t="s">
        <v>319</v>
      </c>
      <c r="F6" s="56"/>
      <c r="G6" s="56"/>
      <c r="H6" s="56"/>
    </row>
    <row r="7" spans="1:17" ht="15.75" thickBot="1">
      <c r="A7" s="65">
        <f>B7*7.7161791764707</f>
        <v>2314.8537529412101</v>
      </c>
      <c r="B7" s="66">
        <v>300</v>
      </c>
      <c r="C7" s="66">
        <f>B7*0.005</f>
        <v>1.5</v>
      </c>
      <c r="D7" s="67">
        <f>C7/60</f>
        <v>2.5000000000000001E-2</v>
      </c>
      <c r="E7" s="56">
        <f>D7*12</f>
        <v>0.30000000000000004</v>
      </c>
      <c r="F7" s="56"/>
      <c r="G7" s="56"/>
      <c r="H7" s="56"/>
    </row>
    <row r="8" spans="1:17" ht="15.75" thickBot="1">
      <c r="A8" s="65">
        <f t="shared" ref="A8:A16" si="0">B8*7.7161791764707</f>
        <v>2314.8537529412101</v>
      </c>
      <c r="B8" s="66">
        <v>300</v>
      </c>
      <c r="C8" s="66">
        <f t="shared" ref="C8:C16" si="1">B8*0.005</f>
        <v>1.5</v>
      </c>
      <c r="D8" s="67">
        <f t="shared" ref="D8:D16" si="2">C8/60</f>
        <v>2.5000000000000001E-2</v>
      </c>
      <c r="E8" s="56">
        <f t="shared" ref="E8:E16" si="3">D8*12</f>
        <v>0.30000000000000004</v>
      </c>
      <c r="F8" s="56"/>
      <c r="G8" s="56"/>
      <c r="H8" s="56"/>
    </row>
    <row r="9" spans="1:17" ht="15.75" thickBot="1">
      <c r="A9" s="65">
        <f t="shared" si="0"/>
        <v>1929.0447941176749</v>
      </c>
      <c r="B9" s="66">
        <v>250</v>
      </c>
      <c r="C9" s="66">
        <f t="shared" si="1"/>
        <v>1.25</v>
      </c>
      <c r="D9" s="67">
        <f t="shared" si="2"/>
        <v>2.0833333333333332E-2</v>
      </c>
      <c r="E9" s="56">
        <f t="shared" si="3"/>
        <v>0.25</v>
      </c>
      <c r="F9" s="56"/>
      <c r="G9" s="56"/>
      <c r="H9" s="56"/>
    </row>
    <row r="10" spans="1:17" ht="15.75" thickBot="1">
      <c r="A10" s="65">
        <f t="shared" si="0"/>
        <v>3086.4716705882797</v>
      </c>
      <c r="B10" s="66">
        <v>400</v>
      </c>
      <c r="C10" s="66">
        <f t="shared" si="1"/>
        <v>2</v>
      </c>
      <c r="D10" s="67">
        <f t="shared" si="2"/>
        <v>3.3333333333333333E-2</v>
      </c>
      <c r="E10" s="56">
        <f t="shared" si="3"/>
        <v>0.4</v>
      </c>
      <c r="F10" s="56"/>
      <c r="G10" s="56"/>
      <c r="H10" s="56"/>
    </row>
    <row r="11" spans="1:17" ht="15.75" thickBot="1">
      <c r="A11" s="65">
        <f t="shared" si="0"/>
        <v>2314.8537529412101</v>
      </c>
      <c r="B11" s="66">
        <v>300</v>
      </c>
      <c r="C11" s="66">
        <f t="shared" si="1"/>
        <v>1.5</v>
      </c>
      <c r="D11" s="67">
        <f t="shared" si="2"/>
        <v>2.5000000000000001E-2</v>
      </c>
      <c r="E11" s="56">
        <f t="shared" si="3"/>
        <v>0.30000000000000004</v>
      </c>
      <c r="F11" s="56"/>
      <c r="G11" s="56"/>
      <c r="H11" s="56"/>
    </row>
    <row r="12" spans="1:17" ht="15.75" thickBot="1">
      <c r="A12" s="65">
        <f t="shared" si="0"/>
        <v>1929.0447941176749</v>
      </c>
      <c r="B12" s="66">
        <v>250</v>
      </c>
      <c r="C12" s="66">
        <f t="shared" si="1"/>
        <v>1.25</v>
      </c>
      <c r="D12" s="67">
        <f t="shared" si="2"/>
        <v>2.0833333333333332E-2</v>
      </c>
      <c r="E12" s="56">
        <f t="shared" si="3"/>
        <v>0.25</v>
      </c>
      <c r="F12" s="56"/>
      <c r="G12" s="56"/>
      <c r="H12" s="56"/>
    </row>
    <row r="13" spans="1:17" ht="15.75" thickBot="1">
      <c r="A13" s="65">
        <f t="shared" si="0"/>
        <v>1543.2358352941399</v>
      </c>
      <c r="B13" s="66">
        <v>200</v>
      </c>
      <c r="C13" s="66">
        <f t="shared" si="1"/>
        <v>1</v>
      </c>
      <c r="D13" s="67">
        <f t="shared" si="2"/>
        <v>1.6666666666666666E-2</v>
      </c>
      <c r="E13" s="56">
        <f t="shared" si="3"/>
        <v>0.2</v>
      </c>
      <c r="F13" s="56"/>
      <c r="G13" s="56"/>
      <c r="H13" s="56"/>
      <c r="Q13" s="4"/>
    </row>
    <row r="14" spans="1:17" ht="15.75" thickBot="1">
      <c r="A14" s="65">
        <f t="shared" si="0"/>
        <v>3086.4716705882797</v>
      </c>
      <c r="B14" s="66">
        <v>400</v>
      </c>
      <c r="C14" s="66">
        <f t="shared" si="1"/>
        <v>2</v>
      </c>
      <c r="D14" s="67">
        <f t="shared" si="2"/>
        <v>3.3333333333333333E-2</v>
      </c>
      <c r="E14" s="56">
        <f t="shared" si="3"/>
        <v>0.4</v>
      </c>
      <c r="F14" s="56"/>
      <c r="G14" s="56"/>
      <c r="H14" s="56"/>
      <c r="Q14" s="4"/>
    </row>
    <row r="15" spans="1:17" ht="15.75" thickBot="1">
      <c r="A15" s="65">
        <f t="shared" si="0"/>
        <v>2314.8537529412101</v>
      </c>
      <c r="B15" s="66">
        <v>300</v>
      </c>
      <c r="C15" s="66">
        <f t="shared" si="1"/>
        <v>1.5</v>
      </c>
      <c r="D15" s="67">
        <f t="shared" si="2"/>
        <v>2.5000000000000001E-2</v>
      </c>
      <c r="E15" s="56">
        <f t="shared" si="3"/>
        <v>0.30000000000000004</v>
      </c>
      <c r="F15" s="56"/>
      <c r="G15" s="56"/>
      <c r="H15" s="56"/>
      <c r="Q15" s="4"/>
    </row>
    <row r="16" spans="1:17" ht="15.75" thickBot="1">
      <c r="A16" s="65">
        <f t="shared" si="0"/>
        <v>2314.8537529412101</v>
      </c>
      <c r="B16" s="66">
        <v>300</v>
      </c>
      <c r="C16" s="66">
        <f t="shared" si="1"/>
        <v>1.5</v>
      </c>
      <c r="D16" s="67">
        <f t="shared" si="2"/>
        <v>2.5000000000000001E-2</v>
      </c>
      <c r="E16" s="56">
        <f t="shared" si="3"/>
        <v>0.30000000000000004</v>
      </c>
      <c r="F16" s="56"/>
      <c r="G16" s="56"/>
      <c r="H16" s="56"/>
      <c r="Q16" s="4"/>
    </row>
    <row r="17" spans="1:17">
      <c r="A17" s="56" t="s">
        <v>314</v>
      </c>
      <c r="B17" s="61"/>
      <c r="C17" s="61"/>
      <c r="D17" s="60">
        <f>AVERAGE(D7:D16)</f>
        <v>2.4999999999999998E-2</v>
      </c>
      <c r="E17" s="56"/>
      <c r="F17" s="56"/>
      <c r="G17" s="56"/>
      <c r="H17" s="56"/>
      <c r="Q17" s="4"/>
    </row>
    <row r="18" spans="1:17">
      <c r="A18" s="56"/>
      <c r="B18" s="56"/>
      <c r="C18" s="56"/>
      <c r="D18" s="60"/>
      <c r="E18" s="56"/>
      <c r="F18" s="56"/>
      <c r="G18" s="56"/>
      <c r="H18" s="56"/>
      <c r="Q18" s="4"/>
    </row>
    <row r="19" spans="1:17" ht="15.75" thickBot="1">
      <c r="A19" s="56"/>
      <c r="B19" s="56" t="s">
        <v>315</v>
      </c>
      <c r="C19" s="56"/>
      <c r="D19" s="60"/>
      <c r="E19" s="56"/>
      <c r="F19" s="56"/>
      <c r="G19" s="56"/>
      <c r="H19" s="56"/>
      <c r="Q19" s="4"/>
    </row>
    <row r="20" spans="1:17" ht="90" thickBot="1">
      <c r="A20" s="57" t="s">
        <v>365</v>
      </c>
      <c r="B20" s="57" t="s">
        <v>320</v>
      </c>
      <c r="C20" s="57" t="s">
        <v>368</v>
      </c>
      <c r="D20" s="58" t="s">
        <v>367</v>
      </c>
      <c r="E20" s="57" t="s">
        <v>319</v>
      </c>
      <c r="F20" s="56"/>
      <c r="G20" s="56"/>
      <c r="H20" s="56"/>
      <c r="Q20" s="4"/>
    </row>
    <row r="21" spans="1:17" ht="15.75" thickBot="1">
      <c r="A21" s="56">
        <f>B21*7.7161791764707</f>
        <v>2314.8537529412101</v>
      </c>
      <c r="B21" s="59">
        <v>300</v>
      </c>
      <c r="C21" s="56">
        <f>B21*0.005</f>
        <v>1.5</v>
      </c>
      <c r="D21" s="62">
        <f>C21/60</f>
        <v>2.5000000000000001E-2</v>
      </c>
      <c r="E21" s="56">
        <f>D21*12</f>
        <v>0.30000000000000004</v>
      </c>
      <c r="F21" s="56"/>
      <c r="G21" s="56"/>
      <c r="H21" s="56"/>
      <c r="Q21" s="4"/>
    </row>
    <row r="22" spans="1:17" ht="15.75" thickBot="1">
      <c r="A22" s="56">
        <f t="shared" ref="A22:A30" si="4">B22*7.7161791764707</f>
        <v>1543.2358352941399</v>
      </c>
      <c r="B22" s="59">
        <v>200</v>
      </c>
      <c r="C22" s="56">
        <f t="shared" ref="C22:C30" si="5">B22*0.005</f>
        <v>1</v>
      </c>
      <c r="D22" s="62">
        <f t="shared" ref="D22:D30" si="6">C22/60</f>
        <v>1.6666666666666666E-2</v>
      </c>
      <c r="E22" s="56">
        <f t="shared" ref="E22:E30" si="7">D22*12</f>
        <v>0.2</v>
      </c>
      <c r="F22" s="56"/>
      <c r="G22" s="56"/>
      <c r="H22" s="56"/>
      <c r="Q22" s="4"/>
    </row>
    <row r="23" spans="1:17" ht="15.75" thickBot="1">
      <c r="A23" s="56">
        <f t="shared" si="4"/>
        <v>1543.2358352941399</v>
      </c>
      <c r="B23" s="59">
        <v>200</v>
      </c>
      <c r="C23" s="56">
        <f t="shared" si="5"/>
        <v>1</v>
      </c>
      <c r="D23" s="62">
        <f t="shared" si="6"/>
        <v>1.6666666666666666E-2</v>
      </c>
      <c r="E23" s="56">
        <f t="shared" si="7"/>
        <v>0.2</v>
      </c>
      <c r="F23" s="56"/>
      <c r="G23" s="56"/>
      <c r="H23" s="56"/>
      <c r="Q23" s="4"/>
    </row>
    <row r="24" spans="1:17" ht="15.75" thickBot="1">
      <c r="A24" s="56">
        <f t="shared" si="4"/>
        <v>1157.4268764706051</v>
      </c>
      <c r="B24" s="59">
        <v>150</v>
      </c>
      <c r="C24" s="56">
        <f t="shared" si="5"/>
        <v>0.75</v>
      </c>
      <c r="D24" s="62">
        <f t="shared" si="6"/>
        <v>1.2500000000000001E-2</v>
      </c>
      <c r="E24" s="56">
        <f t="shared" si="7"/>
        <v>0.15000000000000002</v>
      </c>
      <c r="F24" s="56"/>
      <c r="G24" s="56"/>
      <c r="H24" s="56"/>
      <c r="Q24" s="4"/>
    </row>
    <row r="25" spans="1:17" ht="15.75" thickBot="1">
      <c r="A25" s="56">
        <f t="shared" si="4"/>
        <v>771.61791764706993</v>
      </c>
      <c r="B25" s="59">
        <v>100</v>
      </c>
      <c r="C25" s="56">
        <f t="shared" si="5"/>
        <v>0.5</v>
      </c>
      <c r="D25" s="62">
        <f t="shared" si="6"/>
        <v>8.3333333333333332E-3</v>
      </c>
      <c r="E25" s="56">
        <f t="shared" si="7"/>
        <v>0.1</v>
      </c>
      <c r="F25" s="56"/>
      <c r="G25" s="56"/>
      <c r="H25" s="56"/>
      <c r="Q25" s="4"/>
    </row>
    <row r="26" spans="1:17" ht="15.75" thickBot="1">
      <c r="A26" s="56">
        <f t="shared" si="4"/>
        <v>771.61791764706993</v>
      </c>
      <c r="B26" s="59">
        <v>100</v>
      </c>
      <c r="C26" s="56">
        <f t="shared" si="5"/>
        <v>0.5</v>
      </c>
      <c r="D26" s="62">
        <f t="shared" si="6"/>
        <v>8.3333333333333332E-3</v>
      </c>
      <c r="E26" s="56">
        <f t="shared" si="7"/>
        <v>0.1</v>
      </c>
      <c r="F26" s="56"/>
      <c r="G26" s="56"/>
      <c r="H26" s="56"/>
      <c r="Q26" s="4"/>
    </row>
    <row r="27" spans="1:17" ht="15.75" thickBot="1">
      <c r="A27" s="56">
        <f t="shared" si="4"/>
        <v>1543.2358352941399</v>
      </c>
      <c r="B27" s="59">
        <v>200</v>
      </c>
      <c r="C27" s="56">
        <f t="shared" si="5"/>
        <v>1</v>
      </c>
      <c r="D27" s="62">
        <f t="shared" si="6"/>
        <v>1.6666666666666666E-2</v>
      </c>
      <c r="E27" s="56">
        <f t="shared" si="7"/>
        <v>0.2</v>
      </c>
      <c r="F27" s="56"/>
      <c r="G27" s="56"/>
      <c r="H27" s="56"/>
      <c r="Q27" s="4"/>
    </row>
    <row r="28" spans="1:17" ht="15.75" thickBot="1">
      <c r="A28" s="56">
        <f t="shared" si="4"/>
        <v>1929.0447941176749</v>
      </c>
      <c r="B28" s="59">
        <v>250</v>
      </c>
      <c r="C28" s="56">
        <f t="shared" si="5"/>
        <v>1.25</v>
      </c>
      <c r="D28" s="62">
        <f t="shared" si="6"/>
        <v>2.0833333333333332E-2</v>
      </c>
      <c r="E28" s="56">
        <f t="shared" si="7"/>
        <v>0.25</v>
      </c>
      <c r="F28" s="56"/>
      <c r="G28" s="56"/>
      <c r="H28" s="56"/>
    </row>
    <row r="29" spans="1:17" ht="15.75" thickBot="1">
      <c r="A29" s="56">
        <f t="shared" si="4"/>
        <v>1929.0447941176749</v>
      </c>
      <c r="B29" s="59">
        <v>250</v>
      </c>
      <c r="C29" s="56">
        <f t="shared" si="5"/>
        <v>1.25</v>
      </c>
      <c r="D29" s="62">
        <f t="shared" si="6"/>
        <v>2.0833333333333332E-2</v>
      </c>
      <c r="E29" s="56">
        <f t="shared" si="7"/>
        <v>0.25</v>
      </c>
      <c r="F29" s="56"/>
      <c r="G29" s="56"/>
      <c r="H29" s="56"/>
    </row>
    <row r="30" spans="1:17" ht="15.75" thickBot="1">
      <c r="A30" s="56">
        <f t="shared" si="4"/>
        <v>1929.0447941176749</v>
      </c>
      <c r="B30" s="59">
        <v>250</v>
      </c>
      <c r="C30" s="56">
        <f t="shared" si="5"/>
        <v>1.25</v>
      </c>
      <c r="D30" s="62">
        <f t="shared" si="6"/>
        <v>2.0833333333333332E-2</v>
      </c>
      <c r="E30" s="56">
        <f t="shared" si="7"/>
        <v>0.25</v>
      </c>
      <c r="F30" s="56"/>
      <c r="G30" s="56"/>
      <c r="H30" s="56"/>
    </row>
    <row r="31" spans="1:17">
      <c r="A31" s="56" t="s">
        <v>314</v>
      </c>
      <c r="B31" s="61"/>
      <c r="C31" s="61"/>
      <c r="D31" s="60">
        <f>AVERAGE(D21:D30)</f>
        <v>1.6666666666666666E-2</v>
      </c>
      <c r="E31" s="56"/>
      <c r="F31" s="56"/>
      <c r="G31" s="56"/>
      <c r="H31" s="56"/>
    </row>
    <row r="32" spans="1:17">
      <c r="A32" s="56"/>
      <c r="B32" s="61"/>
      <c r="C32" s="61"/>
      <c r="D32" s="60"/>
      <c r="E32" s="56"/>
      <c r="F32" s="56"/>
      <c r="G32" s="56"/>
      <c r="H32" s="56"/>
    </row>
    <row r="33" spans="1:12">
      <c r="A33" s="56"/>
      <c r="B33" s="61"/>
      <c r="C33" s="61"/>
      <c r="D33" s="60"/>
      <c r="E33" s="56"/>
      <c r="F33" s="56"/>
      <c r="G33" s="56"/>
      <c r="H33" s="56"/>
    </row>
    <row r="34" spans="1:12">
      <c r="A34" s="56"/>
      <c r="B34" s="56"/>
      <c r="C34" s="56"/>
      <c r="D34" s="60"/>
      <c r="E34" s="56"/>
      <c r="F34" s="56"/>
      <c r="G34" s="56"/>
      <c r="H34" s="56"/>
    </row>
    <row r="35" spans="1:12" ht="15.75" thickBot="1">
      <c r="A35" s="56"/>
      <c r="B35" s="56" t="s">
        <v>316</v>
      </c>
      <c r="C35" s="56"/>
      <c r="D35" s="60"/>
      <c r="E35" s="56"/>
      <c r="F35" s="56"/>
      <c r="G35" s="56"/>
      <c r="H35" s="56"/>
    </row>
    <row r="36" spans="1:12" ht="90" thickBot="1">
      <c r="A36" s="57" t="s">
        <v>365</v>
      </c>
      <c r="B36" s="57" t="s">
        <v>320</v>
      </c>
      <c r="C36" s="57" t="s">
        <v>368</v>
      </c>
      <c r="D36" s="58" t="s">
        <v>367</v>
      </c>
      <c r="E36" s="57" t="s">
        <v>319</v>
      </c>
      <c r="F36" s="56"/>
      <c r="G36" s="56"/>
      <c r="H36" s="56"/>
    </row>
    <row r="37" spans="1:12" ht="15.75" thickBot="1">
      <c r="A37" s="56">
        <f>B37*7.7161791764707</f>
        <v>1543.2358352941399</v>
      </c>
      <c r="B37" s="59">
        <v>200</v>
      </c>
      <c r="C37" s="56">
        <f>B37*0.005</f>
        <v>1</v>
      </c>
      <c r="D37" s="62">
        <f>C37/60</f>
        <v>1.6666666666666666E-2</v>
      </c>
      <c r="E37" s="56">
        <f>D37*12</f>
        <v>0.2</v>
      </c>
      <c r="F37" s="56"/>
      <c r="G37" s="56"/>
      <c r="H37" s="56"/>
    </row>
    <row r="38" spans="1:12" ht="15.75" thickBot="1">
      <c r="A38" s="56">
        <f t="shared" ref="A38:A46" si="8">B38*7.7161791764707</f>
        <v>2314.8537529412101</v>
      </c>
      <c r="B38" s="59">
        <v>300</v>
      </c>
      <c r="C38" s="56">
        <f t="shared" ref="C38:C46" si="9">B38*0.005</f>
        <v>1.5</v>
      </c>
      <c r="D38" s="62">
        <f t="shared" ref="D38:D46" si="10">C38/60</f>
        <v>2.5000000000000001E-2</v>
      </c>
      <c r="E38" s="56">
        <f t="shared" ref="E38:E46" si="11">D38*12</f>
        <v>0.30000000000000004</v>
      </c>
      <c r="F38" s="56"/>
      <c r="G38" s="56"/>
      <c r="H38" s="56"/>
    </row>
    <row r="39" spans="1:12" ht="15.75" thickBot="1">
      <c r="A39" s="56">
        <f t="shared" si="8"/>
        <v>3086.4716705882797</v>
      </c>
      <c r="B39" s="59">
        <v>400</v>
      </c>
      <c r="C39" s="56">
        <f t="shared" si="9"/>
        <v>2</v>
      </c>
      <c r="D39" s="62">
        <f t="shared" si="10"/>
        <v>3.3333333333333333E-2</v>
      </c>
      <c r="E39" s="56">
        <f t="shared" si="11"/>
        <v>0.4</v>
      </c>
      <c r="F39" s="56"/>
      <c r="G39" s="56"/>
      <c r="H39" s="56"/>
    </row>
    <row r="40" spans="1:12" ht="15.75" thickBot="1">
      <c r="A40" s="56">
        <f t="shared" si="8"/>
        <v>771.61791764706993</v>
      </c>
      <c r="B40" s="59">
        <v>100</v>
      </c>
      <c r="C40" s="56">
        <f t="shared" si="9"/>
        <v>0.5</v>
      </c>
      <c r="D40" s="62">
        <f t="shared" si="10"/>
        <v>8.3333333333333332E-3</v>
      </c>
      <c r="E40" s="56">
        <f t="shared" si="11"/>
        <v>0.1</v>
      </c>
      <c r="F40" s="56"/>
      <c r="G40" s="56"/>
      <c r="H40" s="56"/>
    </row>
    <row r="41" spans="1:12" ht="15.75" thickBot="1">
      <c r="A41" s="56">
        <f t="shared" si="8"/>
        <v>1543.2358352941399</v>
      </c>
      <c r="B41" s="59">
        <v>200</v>
      </c>
      <c r="C41" s="56">
        <f t="shared" si="9"/>
        <v>1</v>
      </c>
      <c r="D41" s="62">
        <f t="shared" si="10"/>
        <v>1.6666666666666666E-2</v>
      </c>
      <c r="E41" s="56">
        <f t="shared" si="11"/>
        <v>0.2</v>
      </c>
      <c r="F41" s="56"/>
      <c r="G41" s="56"/>
      <c r="H41" s="56"/>
    </row>
    <row r="42" spans="1:12" ht="15.75" thickBot="1">
      <c r="A42" s="56">
        <f t="shared" si="8"/>
        <v>2314.8537529412101</v>
      </c>
      <c r="B42" s="59">
        <v>300</v>
      </c>
      <c r="C42" s="56">
        <f t="shared" si="9"/>
        <v>1.5</v>
      </c>
      <c r="D42" s="62">
        <f t="shared" si="10"/>
        <v>2.5000000000000001E-2</v>
      </c>
      <c r="E42" s="56">
        <f t="shared" si="11"/>
        <v>0.30000000000000004</v>
      </c>
      <c r="F42" s="56"/>
      <c r="G42" s="56"/>
      <c r="H42" s="56"/>
    </row>
    <row r="43" spans="1:12" ht="15.75" thickBot="1">
      <c r="A43" s="56">
        <f t="shared" si="8"/>
        <v>1543.2358352941399</v>
      </c>
      <c r="B43" s="59">
        <v>200</v>
      </c>
      <c r="C43" s="56">
        <f t="shared" si="9"/>
        <v>1</v>
      </c>
      <c r="D43" s="62">
        <f t="shared" si="10"/>
        <v>1.6666666666666666E-2</v>
      </c>
      <c r="E43" s="56">
        <f t="shared" si="11"/>
        <v>0.2</v>
      </c>
      <c r="F43" s="56"/>
      <c r="G43" s="56"/>
      <c r="H43" s="56"/>
    </row>
    <row r="44" spans="1:12" ht="15.75" thickBot="1">
      <c r="A44" s="56">
        <f t="shared" si="8"/>
        <v>1543.2358352941399</v>
      </c>
      <c r="B44" s="59">
        <v>200</v>
      </c>
      <c r="C44" s="56">
        <f t="shared" si="9"/>
        <v>1</v>
      </c>
      <c r="D44" s="62">
        <f t="shared" si="10"/>
        <v>1.6666666666666666E-2</v>
      </c>
      <c r="E44" s="56">
        <f t="shared" si="11"/>
        <v>0.2</v>
      </c>
      <c r="F44" s="56"/>
      <c r="G44" s="56"/>
      <c r="H44" s="56"/>
    </row>
    <row r="45" spans="1:12" ht="15.75" thickBot="1">
      <c r="A45" s="56">
        <f t="shared" si="8"/>
        <v>771.61791764706993</v>
      </c>
      <c r="B45" s="59">
        <v>100</v>
      </c>
      <c r="C45" s="56">
        <f t="shared" si="9"/>
        <v>0.5</v>
      </c>
      <c r="D45" s="62">
        <f t="shared" si="10"/>
        <v>8.3333333333333332E-3</v>
      </c>
      <c r="E45" s="56">
        <f t="shared" si="11"/>
        <v>0.1</v>
      </c>
      <c r="F45" s="56"/>
      <c r="G45" s="56"/>
      <c r="H45" s="56"/>
    </row>
    <row r="46" spans="1:12" ht="15.75" thickBot="1">
      <c r="A46" s="56">
        <f t="shared" si="8"/>
        <v>771.61791764706993</v>
      </c>
      <c r="B46" s="59">
        <v>100</v>
      </c>
      <c r="C46" s="56">
        <f t="shared" si="9"/>
        <v>0.5</v>
      </c>
      <c r="D46" s="62">
        <f t="shared" si="10"/>
        <v>8.3333333333333332E-3</v>
      </c>
      <c r="E46" s="56">
        <f t="shared" si="11"/>
        <v>0.1</v>
      </c>
      <c r="F46" s="56"/>
      <c r="G46" s="56"/>
      <c r="H46" s="56"/>
    </row>
    <row r="47" spans="1:12">
      <c r="A47" s="56" t="s">
        <v>314</v>
      </c>
      <c r="B47" s="56"/>
      <c r="C47" s="56"/>
      <c r="D47" s="60">
        <f>AVERAGE(D39:D46,D37)</f>
        <v>1.6666666666666666E-2</v>
      </c>
      <c r="E47" s="56"/>
      <c r="F47" s="56"/>
      <c r="G47" s="56"/>
      <c r="H47" s="56"/>
      <c r="J47" s="56"/>
      <c r="K47" s="56"/>
      <c r="L47" s="56"/>
    </row>
    <row r="48" spans="1:12">
      <c r="A48" s="56"/>
      <c r="B48" s="56"/>
      <c r="C48" s="56"/>
      <c r="D48" s="60"/>
      <c r="E48" s="56"/>
      <c r="F48" s="56"/>
      <c r="G48" s="56"/>
      <c r="H48" s="56"/>
      <c r="J48" s="56"/>
      <c r="K48" s="56"/>
      <c r="L48" s="56"/>
    </row>
    <row r="49" spans="1:14">
      <c r="A49" s="56"/>
      <c r="B49" s="56"/>
      <c r="C49" s="56"/>
      <c r="D49" s="60"/>
      <c r="E49" s="56"/>
      <c r="F49" s="56"/>
      <c r="G49" s="56"/>
      <c r="H49" s="56"/>
      <c r="J49" s="56"/>
      <c r="K49" s="56"/>
      <c r="L49" s="56"/>
    </row>
    <row r="50" spans="1:14">
      <c r="A50" s="56"/>
      <c r="B50" s="56"/>
      <c r="C50" s="56"/>
      <c r="D50" s="60"/>
      <c r="E50" s="56"/>
      <c r="H50" s="56"/>
      <c r="J50" s="56"/>
      <c r="K50" s="56"/>
      <c r="L50" s="56"/>
    </row>
    <row r="52" spans="1:14">
      <c r="F52" t="s">
        <v>90</v>
      </c>
      <c r="G52" t="s">
        <v>45</v>
      </c>
    </row>
    <row r="53" spans="1:14">
      <c r="B53" s="4" t="s">
        <v>74</v>
      </c>
      <c r="C53" t="s">
        <v>311</v>
      </c>
      <c r="D53" t="s">
        <v>312</v>
      </c>
      <c r="E53" t="s">
        <v>313</v>
      </c>
      <c r="F53" s="19">
        <f t="shared" ref="F53:F90" si="12">AVERAGE(C54:E54)</f>
        <v>4.9999999999999996E-2</v>
      </c>
      <c r="G53">
        <f t="shared" ref="G53:G90" si="13">STDEV(C54:E54)</f>
        <v>4.3863424398922612E-3</v>
      </c>
      <c r="H53" t="s">
        <v>362</v>
      </c>
      <c r="I53" t="s">
        <v>361</v>
      </c>
      <c r="J53" s="63" t="s">
        <v>363</v>
      </c>
      <c r="K53" s="63"/>
    </row>
    <row r="54" spans="1:14">
      <c r="B54" s="4" t="s">
        <v>76</v>
      </c>
      <c r="C54" s="19">
        <v>4.4999999999999998E-2</v>
      </c>
      <c r="D54">
        <v>5.3199999999999997E-2</v>
      </c>
      <c r="E54">
        <v>5.1799999999999999E-2</v>
      </c>
      <c r="F54" s="19">
        <f t="shared" si="12"/>
        <v>8.5233333333333328E-2</v>
      </c>
      <c r="G54">
        <f t="shared" si="13"/>
        <v>2.2479620400116494E-3</v>
      </c>
      <c r="J54" s="63"/>
    </row>
    <row r="55" spans="1:14">
      <c r="A55" s="74" t="s">
        <v>273</v>
      </c>
      <c r="B55" s="4" t="s">
        <v>274</v>
      </c>
      <c r="C55" s="19">
        <v>8.77E-2</v>
      </c>
      <c r="D55">
        <v>8.4699999999999998E-2</v>
      </c>
      <c r="E55">
        <v>8.3299999999999999E-2</v>
      </c>
      <c r="F55" s="19">
        <f t="shared" si="12"/>
        <v>0.14773333333333336</v>
      </c>
      <c r="G55">
        <f t="shared" si="13"/>
        <v>3.6115555282084898E-3</v>
      </c>
      <c r="H55" s="19">
        <f t="shared" ref="H55:H91" si="14">F54-0.05</f>
        <v>3.5233333333333325E-2</v>
      </c>
      <c r="I55">
        <f>H55-0.0655/0.7008</f>
        <v>-5.8231278538812797E-2</v>
      </c>
      <c r="J55" s="68">
        <v>5.8231279000000002E-5</v>
      </c>
    </row>
    <row r="56" spans="1:14">
      <c r="A56" s="74"/>
      <c r="B56" s="4" t="s">
        <v>275</v>
      </c>
      <c r="C56" s="19">
        <v>0.15090000000000001</v>
      </c>
      <c r="D56">
        <v>0.14849999999999999</v>
      </c>
      <c r="E56">
        <v>0.14380000000000001</v>
      </c>
      <c r="F56" s="19">
        <f t="shared" si="12"/>
        <v>0.19443333333333335</v>
      </c>
      <c r="G56">
        <f t="shared" si="13"/>
        <v>3.9501054838236025E-3</v>
      </c>
      <c r="H56" s="19">
        <f t="shared" si="14"/>
        <v>9.7733333333333353E-2</v>
      </c>
      <c r="I56">
        <f t="shared" ref="I56:I91" si="15">H56-0.0655/0.7008</f>
        <v>4.2687214611872304E-3</v>
      </c>
      <c r="J56" s="68">
        <v>4.2687210000000003E-6</v>
      </c>
      <c r="N56" t="s">
        <v>90</v>
      </c>
    </row>
    <row r="57" spans="1:14">
      <c r="A57" s="74"/>
      <c r="B57" s="4" t="s">
        <v>276</v>
      </c>
      <c r="C57" s="19">
        <v>0.1905</v>
      </c>
      <c r="D57">
        <v>0.19839999999999999</v>
      </c>
      <c r="E57">
        <v>0.19439999999999999</v>
      </c>
      <c r="F57" s="19">
        <f t="shared" si="12"/>
        <v>0.29430000000000001</v>
      </c>
      <c r="G57">
        <f t="shared" si="13"/>
        <v>5.9757844673314795E-3</v>
      </c>
      <c r="H57" s="19">
        <f t="shared" si="14"/>
        <v>0.14443333333333336</v>
      </c>
      <c r="I57">
        <f t="shared" si="15"/>
        <v>5.0968721461187236E-2</v>
      </c>
      <c r="J57" s="68">
        <v>5.0968721000000003E-5</v>
      </c>
      <c r="M57">
        <v>0</v>
      </c>
      <c r="N57" s="19">
        <v>8.77E-2</v>
      </c>
    </row>
    <row r="58" spans="1:14">
      <c r="A58" s="74"/>
      <c r="B58" s="4" t="s">
        <v>277</v>
      </c>
      <c r="C58" s="19">
        <v>0.29780000000000001</v>
      </c>
      <c r="D58">
        <v>0.28739999999999999</v>
      </c>
      <c r="E58">
        <v>0.29770000000000002</v>
      </c>
      <c r="F58" s="19">
        <f t="shared" si="12"/>
        <v>0.51046666666666662</v>
      </c>
      <c r="G58">
        <f t="shared" si="13"/>
        <v>6.9349357122711107E-3</v>
      </c>
      <c r="H58" s="19">
        <f t="shared" si="14"/>
        <v>0.24430000000000002</v>
      </c>
      <c r="I58">
        <f t="shared" si="15"/>
        <v>0.15083538812785391</v>
      </c>
      <c r="J58" s="68">
        <v>1.5083539999999999E-4</v>
      </c>
      <c r="M58">
        <v>0.625</v>
      </c>
      <c r="N58" s="19">
        <v>0.15090000000000001</v>
      </c>
    </row>
    <row r="59" spans="1:14">
      <c r="A59" s="74"/>
      <c r="B59" s="4" t="s">
        <v>278</v>
      </c>
      <c r="C59" s="19">
        <v>0.50480000000000003</v>
      </c>
      <c r="D59">
        <v>0.50839999999999996</v>
      </c>
      <c r="E59">
        <v>0.51819999999999999</v>
      </c>
      <c r="F59" s="19">
        <f t="shared" si="12"/>
        <v>0.94499999999999995</v>
      </c>
      <c r="G59">
        <f t="shared" si="13"/>
        <v>4.0607757879498815E-2</v>
      </c>
      <c r="H59" s="19">
        <f t="shared" si="14"/>
        <v>0.46046666666666664</v>
      </c>
      <c r="I59">
        <f t="shared" si="15"/>
        <v>0.36700205479452053</v>
      </c>
      <c r="J59" s="68">
        <v>3.6700209999999999E-4</v>
      </c>
      <c r="M59">
        <v>0.125</v>
      </c>
      <c r="N59" s="19">
        <v>0.1905</v>
      </c>
    </row>
    <row r="60" spans="1:14">
      <c r="A60" s="74"/>
      <c r="B60" s="4" t="s">
        <v>279</v>
      </c>
      <c r="C60" s="19">
        <v>0.9032</v>
      </c>
      <c r="D60">
        <v>0.98429999999999995</v>
      </c>
      <c r="E60">
        <v>0.94750000000000001</v>
      </c>
      <c r="F60" s="19">
        <f t="shared" si="12"/>
        <v>1.4708666666666665</v>
      </c>
      <c r="G60">
        <f t="shared" si="13"/>
        <v>1.6460356415744337E-2</v>
      </c>
      <c r="H60" s="19">
        <f t="shared" si="14"/>
        <v>0.89499999999999991</v>
      </c>
      <c r="I60">
        <f t="shared" si="15"/>
        <v>0.80153538812785374</v>
      </c>
      <c r="J60" s="68">
        <v>8.0153539999999995E-4</v>
      </c>
      <c r="M60">
        <v>0.25</v>
      </c>
      <c r="N60" s="19">
        <v>0.29780000000000001</v>
      </c>
    </row>
    <row r="61" spans="1:14">
      <c r="A61" s="74"/>
      <c r="B61" s="4" t="s">
        <v>280</v>
      </c>
      <c r="C61" s="19">
        <v>1.4771000000000001</v>
      </c>
      <c r="D61">
        <v>1.4833000000000001</v>
      </c>
      <c r="E61">
        <v>1.4521999999999999</v>
      </c>
      <c r="F61" s="19">
        <f t="shared" si="12"/>
        <v>0.47363333333333335</v>
      </c>
      <c r="G61">
        <f t="shared" si="13"/>
        <v>3.4000049019572501E-2</v>
      </c>
      <c r="H61" s="19">
        <f t="shared" si="14"/>
        <v>1.4208666666666665</v>
      </c>
      <c r="I61">
        <f t="shared" si="15"/>
        <v>1.3274020547945204</v>
      </c>
      <c r="J61" s="68">
        <v>1.3274020999999999E-3</v>
      </c>
      <c r="M61">
        <v>0.5</v>
      </c>
      <c r="N61" s="19">
        <v>0.50480000000000003</v>
      </c>
    </row>
    <row r="62" spans="1:14">
      <c r="A62" s="74" t="s">
        <v>309</v>
      </c>
      <c r="B62" s="4" t="s">
        <v>295</v>
      </c>
      <c r="C62" s="19">
        <v>0.49199999999999999</v>
      </c>
      <c r="D62">
        <v>0.43440000000000001</v>
      </c>
      <c r="E62">
        <v>0.4945</v>
      </c>
      <c r="F62" s="19">
        <f t="shared" si="12"/>
        <v>0.73430000000000006</v>
      </c>
      <c r="G62">
        <f t="shared" si="13"/>
        <v>1.5780050697003462E-2</v>
      </c>
      <c r="H62" s="19">
        <f t="shared" si="14"/>
        <v>0.42363333333333336</v>
      </c>
      <c r="I62">
        <f t="shared" si="15"/>
        <v>0.33016872146118725</v>
      </c>
      <c r="J62" s="68">
        <v>3.3016870000000001E-4</v>
      </c>
      <c r="M62">
        <v>1</v>
      </c>
      <c r="N62" s="19">
        <v>0.9032</v>
      </c>
    </row>
    <row r="63" spans="1:14">
      <c r="A63" s="74"/>
      <c r="B63" s="4" t="s">
        <v>294</v>
      </c>
      <c r="C63" s="19">
        <v>0.75219999999999998</v>
      </c>
      <c r="D63">
        <v>0.72829999999999995</v>
      </c>
      <c r="E63">
        <v>0.72240000000000004</v>
      </c>
      <c r="F63" s="19">
        <f t="shared" si="12"/>
        <v>0.88196666666666668</v>
      </c>
      <c r="G63">
        <f t="shared" si="13"/>
        <v>8.0214296315141709E-3</v>
      </c>
      <c r="H63" s="19">
        <f t="shared" si="14"/>
        <v>0.68430000000000002</v>
      </c>
      <c r="I63">
        <f t="shared" si="15"/>
        <v>0.59083538812785386</v>
      </c>
      <c r="J63" s="68">
        <v>5.9083539999999998E-4</v>
      </c>
      <c r="M63">
        <v>2</v>
      </c>
      <c r="N63" s="19">
        <v>1.4771000000000001</v>
      </c>
    </row>
    <row r="64" spans="1:14">
      <c r="A64" s="74"/>
      <c r="B64" s="4" t="s">
        <v>296</v>
      </c>
      <c r="C64" s="19">
        <v>0.88929999999999998</v>
      </c>
      <c r="D64">
        <v>0.88319999999999999</v>
      </c>
      <c r="E64">
        <v>0.87339999999999995</v>
      </c>
      <c r="F64" s="19">
        <f t="shared" si="12"/>
        <v>1.1506666666666667</v>
      </c>
      <c r="G64">
        <f t="shared" si="13"/>
        <v>3.7751070624994609E-2</v>
      </c>
      <c r="H64" s="19">
        <f t="shared" si="14"/>
        <v>0.83196666666666663</v>
      </c>
      <c r="I64">
        <f t="shared" si="15"/>
        <v>0.73850205479452047</v>
      </c>
      <c r="J64" s="68">
        <v>7.3850209999999996E-4</v>
      </c>
    </row>
    <row r="65" spans="1:23">
      <c r="A65" s="74"/>
      <c r="B65" s="4" t="s">
        <v>297</v>
      </c>
      <c r="C65" s="19">
        <v>1.194</v>
      </c>
      <c r="D65">
        <v>1.1249</v>
      </c>
      <c r="E65">
        <v>1.1331</v>
      </c>
      <c r="F65" s="19">
        <f t="shared" si="12"/>
        <v>0.24196666666666666</v>
      </c>
      <c r="G65">
        <f t="shared" si="13"/>
        <v>3.756119451419699E-2</v>
      </c>
      <c r="H65" s="19">
        <f t="shared" si="14"/>
        <v>1.1006666666666667</v>
      </c>
      <c r="I65">
        <f t="shared" si="15"/>
        <v>1.0072020547945206</v>
      </c>
      <c r="J65" s="68">
        <v>1.0072021E-3</v>
      </c>
    </row>
    <row r="66" spans="1:23">
      <c r="A66" s="74"/>
      <c r="B66" s="4" t="s">
        <v>298</v>
      </c>
      <c r="C66" s="19">
        <v>0.28420000000000001</v>
      </c>
      <c r="D66">
        <v>0.22939999999999999</v>
      </c>
      <c r="E66">
        <v>0.21229999999999999</v>
      </c>
      <c r="F66" s="19">
        <f t="shared" si="12"/>
        <v>1.7032800000000001</v>
      </c>
      <c r="G66">
        <f t="shared" si="13"/>
        <v>1.2856693490940818</v>
      </c>
      <c r="H66" s="19">
        <f t="shared" si="14"/>
        <v>0.19196666666666667</v>
      </c>
      <c r="I66">
        <f t="shared" si="15"/>
        <v>9.8502054794520552E-2</v>
      </c>
      <c r="J66" s="68">
        <v>9.8502054999999997E-5</v>
      </c>
    </row>
    <row r="67" spans="1:23">
      <c r="A67" s="74"/>
      <c r="B67" s="4" t="s">
        <v>299</v>
      </c>
      <c r="C67" s="19">
        <v>2.4950000000000001</v>
      </c>
      <c r="D67">
        <v>2.395</v>
      </c>
      <c r="E67">
        <v>0.21984000000000001</v>
      </c>
      <c r="F67" s="19">
        <f t="shared" si="12"/>
        <v>3.1528000000000005</v>
      </c>
      <c r="G67">
        <f t="shared" si="13"/>
        <v>4.2022850926608998E-2</v>
      </c>
      <c r="H67" s="19">
        <f t="shared" si="14"/>
        <v>1.6532800000000001</v>
      </c>
      <c r="I67">
        <f t="shared" si="15"/>
        <v>1.559815388127854</v>
      </c>
      <c r="J67" s="68">
        <v>1.5598153999999999E-3</v>
      </c>
    </row>
    <row r="68" spans="1:23">
      <c r="A68" s="74"/>
      <c r="B68" s="4" t="s">
        <v>300</v>
      </c>
      <c r="C68" s="19">
        <v>3.11</v>
      </c>
      <c r="D68">
        <v>3.194</v>
      </c>
      <c r="E68">
        <v>3.1543999999999999</v>
      </c>
      <c r="F68" s="19">
        <f t="shared" si="12"/>
        <v>1.9101999999999999</v>
      </c>
      <c r="G68">
        <f t="shared" si="13"/>
        <v>4.4766505336021063E-2</v>
      </c>
      <c r="H68" s="19">
        <f t="shared" si="14"/>
        <v>3.1028000000000007</v>
      </c>
      <c r="I68">
        <f t="shared" si="15"/>
        <v>3.0093353881278544</v>
      </c>
      <c r="J68" s="68">
        <v>3.0093353999999998E-3</v>
      </c>
    </row>
    <row r="69" spans="1:23">
      <c r="A69" s="74"/>
      <c r="B69" s="4" t="s">
        <v>301</v>
      </c>
      <c r="C69" s="19">
        <v>1.9430000000000001</v>
      </c>
      <c r="D69">
        <v>1.8592</v>
      </c>
      <c r="E69">
        <v>1.9283999999999999</v>
      </c>
      <c r="F69" s="19">
        <f t="shared" si="12"/>
        <v>1.8703333333333336</v>
      </c>
      <c r="G69">
        <f t="shared" si="13"/>
        <v>4.953002456423107E-2</v>
      </c>
      <c r="H69" s="19">
        <f t="shared" si="14"/>
        <v>1.8601999999999999</v>
      </c>
      <c r="I69">
        <f t="shared" si="15"/>
        <v>1.7667353881278538</v>
      </c>
      <c r="J69" s="68">
        <v>1.7667354000000001E-3</v>
      </c>
      <c r="S69" s="19"/>
      <c r="T69" s="19">
        <v>0.98950000000000005</v>
      </c>
      <c r="U69" s="19">
        <v>0.70040000000000002</v>
      </c>
      <c r="V69" s="19">
        <v>0.9526</v>
      </c>
      <c r="W69" s="19">
        <v>0.90690000000000004</v>
      </c>
    </row>
    <row r="70" spans="1:23">
      <c r="A70" s="74"/>
      <c r="B70" s="4" t="s">
        <v>302</v>
      </c>
      <c r="C70" s="19">
        <v>1.883</v>
      </c>
      <c r="D70">
        <v>1.8157000000000001</v>
      </c>
      <c r="E70">
        <v>1.9123000000000001</v>
      </c>
      <c r="F70" s="19">
        <f t="shared" si="12"/>
        <v>1.7400000000000002</v>
      </c>
      <c r="G70">
        <f t="shared" si="13"/>
        <v>7.2111025509279851E-3</v>
      </c>
      <c r="H70" s="19">
        <f t="shared" si="14"/>
        <v>1.8203333333333336</v>
      </c>
      <c r="I70">
        <f t="shared" si="15"/>
        <v>1.7268687214611875</v>
      </c>
      <c r="J70" s="68">
        <v>1.7268686999999999E-3</v>
      </c>
      <c r="S70" s="19"/>
      <c r="T70" s="19">
        <v>0.87350000000000005</v>
      </c>
      <c r="U70" s="19">
        <v>0.628</v>
      </c>
      <c r="V70" s="19">
        <v>0.68030000000000002</v>
      </c>
      <c r="W70" s="19">
        <v>0.77359999999999995</v>
      </c>
    </row>
    <row r="71" spans="1:23">
      <c r="A71" s="74"/>
      <c r="B71" s="4" t="s">
        <v>303</v>
      </c>
      <c r="C71" s="19">
        <v>1.748</v>
      </c>
      <c r="D71">
        <v>1.734</v>
      </c>
      <c r="E71">
        <v>1.738</v>
      </c>
      <c r="F71" s="19">
        <f t="shared" si="12"/>
        <v>4.3066666666666675</v>
      </c>
      <c r="G71">
        <f t="shared" si="13"/>
        <v>0.12946556813814761</v>
      </c>
      <c r="H71" s="19">
        <f t="shared" si="14"/>
        <v>1.6900000000000002</v>
      </c>
      <c r="I71">
        <f t="shared" si="15"/>
        <v>1.5965353881278541</v>
      </c>
      <c r="J71" s="68">
        <v>1.5965354E-3</v>
      </c>
      <c r="S71" s="19">
        <v>0.89190000000000003</v>
      </c>
      <c r="T71" s="19">
        <v>0.77059999999999995</v>
      </c>
      <c r="U71" s="19">
        <v>0.76859999999999995</v>
      </c>
      <c r="V71" s="19">
        <v>0.27089999999999997</v>
      </c>
      <c r="W71" s="19">
        <v>0.89749999999999996</v>
      </c>
    </row>
    <row r="72" spans="1:23">
      <c r="A72" s="74"/>
      <c r="B72" s="4" t="s">
        <v>304</v>
      </c>
      <c r="C72" s="19">
        <v>4.4420000000000002</v>
      </c>
      <c r="D72">
        <v>4.1840000000000002</v>
      </c>
      <c r="E72">
        <v>4.2939999999999996</v>
      </c>
      <c r="F72" s="19">
        <f t="shared" si="12"/>
        <v>3.515966666666666</v>
      </c>
      <c r="G72">
        <f t="shared" si="13"/>
        <v>0.40295930729210522</v>
      </c>
      <c r="H72" s="19">
        <f t="shared" si="14"/>
        <v>4.2566666666666677</v>
      </c>
      <c r="I72">
        <f t="shared" si="15"/>
        <v>4.1632020547945219</v>
      </c>
      <c r="J72" s="68">
        <v>4.1632021E-3</v>
      </c>
    </row>
    <row r="73" spans="1:23">
      <c r="A73" s="74"/>
      <c r="B73" s="4" t="s">
        <v>305</v>
      </c>
      <c r="C73" s="19">
        <v>3.4950000000000001</v>
      </c>
      <c r="D73">
        <v>3.9289999999999998</v>
      </c>
      <c r="E73">
        <v>3.1238999999999999</v>
      </c>
      <c r="F73" s="19">
        <f t="shared" si="12"/>
        <v>3.5653333333333332</v>
      </c>
      <c r="G73">
        <f t="shared" si="13"/>
        <v>0.34654052192107831</v>
      </c>
      <c r="H73" s="19">
        <f t="shared" si="14"/>
        <v>3.4659666666666662</v>
      </c>
      <c r="I73">
        <f t="shared" si="15"/>
        <v>3.3725020547945199</v>
      </c>
      <c r="J73" s="68">
        <v>3.3725020999999999E-3</v>
      </c>
    </row>
    <row r="74" spans="1:23">
      <c r="A74" s="74"/>
      <c r="B74" s="4" t="s">
        <v>306</v>
      </c>
      <c r="C74" s="19">
        <v>3.4449999999999998</v>
      </c>
      <c r="D74">
        <v>3.2949999999999999</v>
      </c>
      <c r="E74">
        <v>3.956</v>
      </c>
      <c r="F74" s="19">
        <f t="shared" si="12"/>
        <v>4.6613333333333333</v>
      </c>
      <c r="G74">
        <f t="shared" si="13"/>
        <v>0.30528893418093822</v>
      </c>
      <c r="H74" s="19">
        <f t="shared" si="14"/>
        <v>3.5153333333333334</v>
      </c>
      <c r="I74">
        <f t="shared" si="15"/>
        <v>3.4218687214611871</v>
      </c>
      <c r="J74" s="68">
        <v>3.4218687E-3</v>
      </c>
    </row>
    <row r="75" spans="1:23">
      <c r="A75" s="74"/>
      <c r="B75" s="4" t="s">
        <v>307</v>
      </c>
      <c r="C75" s="19">
        <v>4.9939999999999998</v>
      </c>
      <c r="D75">
        <v>4.3940000000000001</v>
      </c>
      <c r="E75">
        <v>4.5960000000000001</v>
      </c>
      <c r="F75" s="19">
        <f t="shared" si="12"/>
        <v>4.2366666666666672</v>
      </c>
      <c r="G75">
        <f t="shared" si="13"/>
        <v>5.1588112325741349E-2</v>
      </c>
      <c r="H75" s="19">
        <f t="shared" si="14"/>
        <v>4.6113333333333335</v>
      </c>
      <c r="I75">
        <f t="shared" si="15"/>
        <v>4.5178687214611877</v>
      </c>
      <c r="J75" s="68">
        <v>4.5178687000000002E-3</v>
      </c>
    </row>
    <row r="76" spans="1:23">
      <c r="A76" s="74"/>
      <c r="B76" s="4" t="s">
        <v>308</v>
      </c>
      <c r="C76" s="19">
        <v>4.2220000000000004</v>
      </c>
      <c r="D76">
        <v>4.194</v>
      </c>
      <c r="E76">
        <v>4.2939999999999996</v>
      </c>
      <c r="F76" s="19">
        <f t="shared" si="12"/>
        <v>0.35746666666666665</v>
      </c>
      <c r="G76">
        <f t="shared" si="13"/>
        <v>3.3432668654077458E-2</v>
      </c>
      <c r="H76" s="19">
        <f t="shared" si="14"/>
        <v>4.1866666666666674</v>
      </c>
      <c r="I76">
        <f t="shared" si="15"/>
        <v>4.0932020547945216</v>
      </c>
      <c r="J76" s="68">
        <v>4.0932021000000002E-3</v>
      </c>
    </row>
    <row r="77" spans="1:23">
      <c r="A77" s="74" t="s">
        <v>310</v>
      </c>
      <c r="B77" s="4" t="s">
        <v>295</v>
      </c>
      <c r="C77" s="19">
        <v>0.34520000000000001</v>
      </c>
      <c r="D77">
        <v>0.39529999999999998</v>
      </c>
      <c r="E77">
        <v>0.33189999999999997</v>
      </c>
      <c r="F77" s="19">
        <f t="shared" si="12"/>
        <v>0.41603333333333331</v>
      </c>
      <c r="G77">
        <f t="shared" si="13"/>
        <v>2.3561055437593039E-2</v>
      </c>
      <c r="H77" s="19">
        <f t="shared" si="14"/>
        <v>0.30746666666666667</v>
      </c>
      <c r="I77">
        <f t="shared" si="15"/>
        <v>0.21400205479452056</v>
      </c>
      <c r="J77" s="68">
        <v>2.1400210000000001E-4</v>
      </c>
    </row>
    <row r="78" spans="1:23">
      <c r="A78" s="74"/>
      <c r="B78" s="4" t="s">
        <v>294</v>
      </c>
      <c r="C78" s="19">
        <v>0.44119999999999998</v>
      </c>
      <c r="D78">
        <v>0.39450000000000002</v>
      </c>
      <c r="E78">
        <v>0.41239999999999999</v>
      </c>
      <c r="F78" s="19">
        <f t="shared" si="12"/>
        <v>1.3203333333333334</v>
      </c>
      <c r="G78">
        <f t="shared" si="13"/>
        <v>0.17178571923571972</v>
      </c>
      <c r="H78" s="19">
        <f t="shared" si="14"/>
        <v>0.36603333333333332</v>
      </c>
      <c r="I78">
        <f t="shared" si="15"/>
        <v>0.27256872146118721</v>
      </c>
      <c r="J78" s="68">
        <v>2.7256870000000002E-4</v>
      </c>
    </row>
    <row r="79" spans="1:23">
      <c r="A79" s="74"/>
      <c r="B79" s="4" t="s">
        <v>296</v>
      </c>
      <c r="C79" s="19">
        <v>1.1240000000000001</v>
      </c>
      <c r="D79">
        <v>1.3939999999999999</v>
      </c>
      <c r="E79">
        <v>1.4430000000000001</v>
      </c>
      <c r="F79" s="19">
        <f t="shared" si="12"/>
        <v>0.85143333333333338</v>
      </c>
      <c r="G79">
        <f t="shared" si="13"/>
        <v>1.0614298532325751E-2</v>
      </c>
      <c r="H79" s="19">
        <f t="shared" si="14"/>
        <v>1.2703333333333333</v>
      </c>
      <c r="I79">
        <f t="shared" si="15"/>
        <v>1.1768687214611873</v>
      </c>
      <c r="J79" s="68">
        <v>1.1768687E-3</v>
      </c>
    </row>
    <row r="80" spans="1:23">
      <c r="A80" s="74"/>
      <c r="B80" s="4" t="s">
        <v>297</v>
      </c>
      <c r="C80" s="19">
        <v>0.85899999999999999</v>
      </c>
      <c r="D80">
        <v>0.85599999999999998</v>
      </c>
      <c r="E80">
        <v>0.83930000000000005</v>
      </c>
      <c r="F80" s="19">
        <f t="shared" si="12"/>
        <v>0.75213333333333343</v>
      </c>
      <c r="G80">
        <f t="shared" si="13"/>
        <v>2.8137223269777929E-2</v>
      </c>
      <c r="H80" s="19">
        <f t="shared" si="14"/>
        <v>0.80143333333333333</v>
      </c>
      <c r="I80">
        <f t="shared" si="15"/>
        <v>0.70796872146118717</v>
      </c>
      <c r="J80" s="68">
        <v>7.0796870000000003E-4</v>
      </c>
    </row>
    <row r="81" spans="1:10">
      <c r="A81" s="74"/>
      <c r="B81" s="4" t="s">
        <v>298</v>
      </c>
      <c r="C81" s="19">
        <v>0.73839999999999995</v>
      </c>
      <c r="D81">
        <v>0.73350000000000004</v>
      </c>
      <c r="E81">
        <v>0.78449999999999998</v>
      </c>
      <c r="F81" s="19">
        <f t="shared" si="12"/>
        <v>0.83766666666666667</v>
      </c>
      <c r="G81">
        <f t="shared" si="13"/>
        <v>5.0332229568471705E-3</v>
      </c>
      <c r="H81" s="19">
        <f t="shared" si="14"/>
        <v>0.70213333333333339</v>
      </c>
      <c r="I81">
        <f t="shared" si="15"/>
        <v>0.60866872146118722</v>
      </c>
      <c r="J81" s="68">
        <v>6.0866869999999995E-4</v>
      </c>
    </row>
    <row r="82" spans="1:10">
      <c r="A82" s="74"/>
      <c r="B82" s="4" t="s">
        <v>299</v>
      </c>
      <c r="C82" s="19">
        <v>0.84299999999999997</v>
      </c>
      <c r="D82">
        <v>0.83699999999999997</v>
      </c>
      <c r="E82">
        <v>0.83299999999999996</v>
      </c>
      <c r="F82" s="19">
        <f t="shared" si="12"/>
        <v>0.36833333333333335</v>
      </c>
      <c r="G82">
        <f t="shared" si="13"/>
        <v>6.8995168912999547E-2</v>
      </c>
      <c r="H82" s="19">
        <f t="shared" si="14"/>
        <v>0.78766666666666663</v>
      </c>
      <c r="I82">
        <f t="shared" si="15"/>
        <v>0.69420205479452046</v>
      </c>
      <c r="J82" s="68">
        <v>6.9420210000000003E-4</v>
      </c>
    </row>
    <row r="83" spans="1:10">
      <c r="A83" s="74"/>
      <c r="B83" s="4" t="s">
        <v>300</v>
      </c>
      <c r="C83" s="19">
        <v>0.32800000000000001</v>
      </c>
      <c r="D83">
        <v>0.32900000000000001</v>
      </c>
      <c r="E83">
        <v>0.44800000000000001</v>
      </c>
      <c r="F83" s="19">
        <f t="shared" si="12"/>
        <v>0.53466666666666662</v>
      </c>
      <c r="G83">
        <f t="shared" si="13"/>
        <v>3.5104605585782205E-2</v>
      </c>
      <c r="H83" s="19">
        <f t="shared" si="14"/>
        <v>0.31833333333333336</v>
      </c>
      <c r="I83">
        <f t="shared" si="15"/>
        <v>0.22486872146118725</v>
      </c>
      <c r="J83" s="68">
        <v>2.248687E-4</v>
      </c>
    </row>
    <row r="84" spans="1:10">
      <c r="A84" s="74"/>
      <c r="B84" s="4" t="s">
        <v>301</v>
      </c>
      <c r="C84" s="19">
        <v>0.51100000000000001</v>
      </c>
      <c r="D84">
        <v>0.51800000000000002</v>
      </c>
      <c r="E84">
        <v>0.57499999999999996</v>
      </c>
      <c r="F84" s="19">
        <f t="shared" si="12"/>
        <v>0.85566666666666669</v>
      </c>
      <c r="G84">
        <f t="shared" si="13"/>
        <v>2.0256686138984681E-2</v>
      </c>
      <c r="H84" s="19">
        <f t="shared" si="14"/>
        <v>0.48466666666666663</v>
      </c>
      <c r="I84">
        <f t="shared" si="15"/>
        <v>0.39120205479452053</v>
      </c>
      <c r="J84" s="68">
        <v>3.9120209999999998E-4</v>
      </c>
    </row>
    <row r="85" spans="1:10">
      <c r="A85" s="74"/>
      <c r="B85" s="4" t="s">
        <v>302</v>
      </c>
      <c r="C85" s="19">
        <v>0.86199999999999999</v>
      </c>
      <c r="D85">
        <v>0.872</v>
      </c>
      <c r="E85">
        <v>0.83299999999999996</v>
      </c>
      <c r="F85" s="19">
        <f t="shared" si="12"/>
        <v>0.6627333333333334</v>
      </c>
      <c r="G85">
        <f t="shared" si="13"/>
        <v>3.3641393153871234E-2</v>
      </c>
      <c r="H85" s="19">
        <f t="shared" si="14"/>
        <v>0.80566666666666664</v>
      </c>
      <c r="I85">
        <f t="shared" si="15"/>
        <v>0.71220205479452048</v>
      </c>
      <c r="J85" s="68">
        <v>7.1220210000000003E-4</v>
      </c>
    </row>
    <row r="86" spans="1:10">
      <c r="A86" s="74"/>
      <c r="B86" s="4" t="s">
        <v>303</v>
      </c>
      <c r="C86" s="19">
        <v>0.68300000000000005</v>
      </c>
      <c r="D86">
        <v>0.62390000000000001</v>
      </c>
      <c r="E86">
        <v>0.68130000000000002</v>
      </c>
      <c r="F86" s="19">
        <f t="shared" si="12"/>
        <v>1.2</v>
      </c>
      <c r="G86">
        <f t="shared" si="13"/>
        <v>6.1538605769061769E-2</v>
      </c>
      <c r="H86" s="19">
        <f t="shared" si="14"/>
        <v>0.61273333333333335</v>
      </c>
      <c r="I86">
        <f t="shared" si="15"/>
        <v>0.51926872146118719</v>
      </c>
      <c r="J86" s="68">
        <v>5.1926870000000005E-4</v>
      </c>
    </row>
    <row r="87" spans="1:10">
      <c r="A87" s="74"/>
      <c r="B87" s="4" t="s">
        <v>304</v>
      </c>
      <c r="C87" s="19">
        <v>1.129</v>
      </c>
      <c r="D87">
        <v>1.238</v>
      </c>
      <c r="E87">
        <v>1.2330000000000001</v>
      </c>
      <c r="F87" s="19">
        <f t="shared" si="12"/>
        <v>0.92969999999999997</v>
      </c>
      <c r="G87">
        <f t="shared" si="13"/>
        <v>1.8140562284559986E-2</v>
      </c>
      <c r="H87" s="19">
        <f t="shared" si="14"/>
        <v>1.1499999999999999</v>
      </c>
      <c r="I87">
        <f t="shared" si="15"/>
        <v>1.0565353881278539</v>
      </c>
      <c r="J87" s="68">
        <v>1.0565354000000001E-3</v>
      </c>
    </row>
    <row r="88" spans="1:10">
      <c r="A88" s="74"/>
      <c r="B88" s="4" t="s">
        <v>305</v>
      </c>
      <c r="C88" s="19">
        <v>0.94850000000000001</v>
      </c>
      <c r="D88">
        <v>0.92830000000000001</v>
      </c>
      <c r="E88">
        <v>0.9123</v>
      </c>
      <c r="F88" s="19">
        <f t="shared" si="12"/>
        <v>1.1655333333333335</v>
      </c>
      <c r="G88">
        <f t="shared" si="13"/>
        <v>3.2341510993355443E-2</v>
      </c>
      <c r="H88" s="19">
        <f t="shared" si="14"/>
        <v>0.87969999999999993</v>
      </c>
      <c r="I88">
        <f t="shared" si="15"/>
        <v>0.78623538812785376</v>
      </c>
      <c r="J88" s="68">
        <v>7.8623539999999996E-4</v>
      </c>
    </row>
    <row r="89" spans="1:10">
      <c r="A89" s="74"/>
      <c r="B89" s="4" t="s">
        <v>306</v>
      </c>
      <c r="C89" s="19">
        <v>1.1834</v>
      </c>
      <c r="D89">
        <v>1.1282000000000001</v>
      </c>
      <c r="E89">
        <v>1.1850000000000001</v>
      </c>
      <c r="F89" s="19">
        <f t="shared" si="12"/>
        <v>1.3629999999999998</v>
      </c>
      <c r="G89">
        <f t="shared" si="13"/>
        <v>3.553871128783366E-2</v>
      </c>
      <c r="H89" s="19">
        <f t="shared" si="14"/>
        <v>1.1155333333333335</v>
      </c>
      <c r="I89">
        <f t="shared" si="15"/>
        <v>1.0220687214611874</v>
      </c>
      <c r="J89" s="68">
        <v>1.0220686999999999E-3</v>
      </c>
    </row>
    <row r="90" spans="1:10">
      <c r="A90" s="74"/>
      <c r="B90" s="4" t="s">
        <v>307</v>
      </c>
      <c r="C90" s="19">
        <v>1.3220000000000001</v>
      </c>
      <c r="D90">
        <v>1.385</v>
      </c>
      <c r="E90">
        <v>1.3819999999999999</v>
      </c>
      <c r="F90" s="19">
        <f t="shared" si="12"/>
        <v>1.2412000000000001</v>
      </c>
      <c r="G90">
        <f t="shared" si="13"/>
        <v>3.827022341194259E-2</v>
      </c>
      <c r="H90" s="19">
        <f t="shared" si="14"/>
        <v>1.3129999999999997</v>
      </c>
      <c r="I90">
        <f t="shared" si="15"/>
        <v>1.2195353881278537</v>
      </c>
      <c r="J90" s="68">
        <v>1.2195354E-3</v>
      </c>
    </row>
    <row r="91" spans="1:10">
      <c r="A91" s="74"/>
      <c r="B91" s="4" t="s">
        <v>308</v>
      </c>
      <c r="C91" s="19">
        <v>1.2281</v>
      </c>
      <c r="D91">
        <v>1.2843</v>
      </c>
      <c r="E91">
        <v>1.2112000000000001</v>
      </c>
      <c r="H91" s="19">
        <f t="shared" si="14"/>
        <v>1.1912</v>
      </c>
      <c r="I91">
        <f t="shared" si="15"/>
        <v>1.097735388127854</v>
      </c>
      <c r="J91" s="68">
        <v>1.0977354E-3</v>
      </c>
    </row>
  </sheetData>
  <mergeCells count="3">
    <mergeCell ref="A55:A61"/>
    <mergeCell ref="A62:A76"/>
    <mergeCell ref="A77:A91"/>
  </mergeCells>
  <pageMargins left="0.7" right="0.7" top="0.75" bottom="0.75" header="0.3" footer="0.3"/>
  <pageSetup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91"/>
  <sheetViews>
    <sheetView topLeftCell="A69" workbookViewId="0">
      <selection activeCell="J34" sqref="J34"/>
    </sheetView>
  </sheetViews>
  <sheetFormatPr defaultRowHeight="15"/>
  <cols>
    <col min="1" max="1" width="16.140625" customWidth="1"/>
    <col min="3" max="3" width="11.42578125" customWidth="1"/>
  </cols>
  <sheetData>
    <row r="2" spans="1:28">
      <c r="A2" s="4" t="s">
        <v>418</v>
      </c>
    </row>
    <row r="4" spans="1:28" ht="15.75">
      <c r="C4" s="24" t="s">
        <v>127</v>
      </c>
    </row>
    <row r="6" spans="1:28">
      <c r="A6" t="s">
        <v>430</v>
      </c>
      <c r="B6" s="4" t="s">
        <v>128</v>
      </c>
    </row>
    <row r="7" spans="1:28">
      <c r="B7" s="4"/>
      <c r="C7" s="4" t="s">
        <v>79</v>
      </c>
      <c r="D7" s="4" t="s">
        <v>80</v>
      </c>
      <c r="E7" s="4" t="s">
        <v>81</v>
      </c>
      <c r="F7" s="4" t="s">
        <v>82</v>
      </c>
      <c r="G7" s="4" t="s">
        <v>83</v>
      </c>
      <c r="H7" s="4" t="s">
        <v>84</v>
      </c>
    </row>
    <row r="8" spans="1:28">
      <c r="B8" s="4"/>
      <c r="C8" t="s">
        <v>5</v>
      </c>
      <c r="D8" s="26">
        <v>142.26</v>
      </c>
      <c r="E8" s="26">
        <v>77.42</v>
      </c>
      <c r="F8" s="26">
        <v>191.54949999999999</v>
      </c>
      <c r="G8" s="26">
        <v>122.495</v>
      </c>
      <c r="H8" s="26">
        <v>89.438500000000005</v>
      </c>
      <c r="X8" s="17"/>
      <c r="Y8" s="17"/>
      <c r="Z8" s="17"/>
      <c r="AA8" s="17"/>
      <c r="AB8" s="17"/>
    </row>
    <row r="9" spans="1:28">
      <c r="B9" s="4"/>
      <c r="C9" t="s">
        <v>6</v>
      </c>
      <c r="D9" s="26">
        <v>211.3</v>
      </c>
      <c r="E9" s="26">
        <v>175.239</v>
      </c>
      <c r="F9" s="26">
        <v>133.96</v>
      </c>
      <c r="G9" s="26">
        <v>203.184</v>
      </c>
      <c r="H9" s="26">
        <v>189.548</v>
      </c>
    </row>
    <row r="10" spans="1:28">
      <c r="B10" s="4"/>
      <c r="C10" s="20" t="s">
        <v>57</v>
      </c>
      <c r="D10" s="26">
        <v>516.86</v>
      </c>
      <c r="E10" s="26">
        <v>243.934</v>
      </c>
      <c r="F10" s="26">
        <v>439.58300000000003</v>
      </c>
      <c r="G10" s="26">
        <v>371.48</v>
      </c>
      <c r="H10" s="26">
        <v>367.24329999999998</v>
      </c>
    </row>
    <row r="11" spans="1:28">
      <c r="B11" s="4"/>
      <c r="C11" t="s">
        <v>52</v>
      </c>
      <c r="D11" s="26">
        <v>306.57</v>
      </c>
      <c r="E11" s="26">
        <v>331.59</v>
      </c>
      <c r="F11" s="26">
        <v>298.48599999999999</v>
      </c>
      <c r="G11" s="26">
        <v>255.29400000000001</v>
      </c>
      <c r="H11" s="26">
        <v>198.56700000000001</v>
      </c>
    </row>
    <row r="12" spans="1:28">
      <c r="B12" s="4"/>
    </row>
    <row r="13" spans="1:28">
      <c r="B13" s="4"/>
    </row>
    <row r="14" spans="1:28">
      <c r="A14" t="s">
        <v>429</v>
      </c>
      <c r="B14" s="4" t="s">
        <v>129</v>
      </c>
      <c r="C14" s="4" t="s">
        <v>79</v>
      </c>
      <c r="D14" s="4" t="s">
        <v>80</v>
      </c>
      <c r="E14" s="4" t="s">
        <v>81</v>
      </c>
      <c r="F14" s="4" t="s">
        <v>82</v>
      </c>
      <c r="G14" s="4" t="s">
        <v>83</v>
      </c>
      <c r="H14" s="4" t="s">
        <v>84</v>
      </c>
    </row>
    <row r="15" spans="1:28">
      <c r="B15" s="4"/>
      <c r="C15" t="s">
        <v>5</v>
      </c>
      <c r="D15" s="26">
        <v>8.48</v>
      </c>
      <c r="E15" s="26">
        <v>6.8949999999999996</v>
      </c>
      <c r="F15" s="26">
        <v>12.314</v>
      </c>
      <c r="G15" s="26">
        <v>11.754</v>
      </c>
      <c r="H15" s="26">
        <v>3.6964999999999999</v>
      </c>
    </row>
    <row r="16" spans="1:28">
      <c r="B16" s="4"/>
      <c r="C16" t="s">
        <v>6</v>
      </c>
      <c r="D16" s="26">
        <v>3.96</v>
      </c>
      <c r="E16" s="26">
        <v>5.7050000000000001</v>
      </c>
      <c r="F16" s="26">
        <v>11.507</v>
      </c>
      <c r="G16" s="26">
        <v>21.6097</v>
      </c>
      <c r="H16" s="26">
        <v>4.5960000000000001</v>
      </c>
    </row>
    <row r="17" spans="1:16">
      <c r="B17" s="4"/>
      <c r="C17" s="20" t="s">
        <v>57</v>
      </c>
      <c r="D17" s="26">
        <v>17.47</v>
      </c>
      <c r="E17" s="26">
        <v>22.507000000000001</v>
      </c>
      <c r="F17" s="26">
        <v>19.748999999999999</v>
      </c>
      <c r="G17" s="26">
        <v>18.684000000000001</v>
      </c>
      <c r="H17" s="26">
        <v>26.395</v>
      </c>
    </row>
    <row r="18" spans="1:16">
      <c r="B18" s="4"/>
      <c r="C18" t="s">
        <v>52</v>
      </c>
      <c r="D18" s="26">
        <v>16.93</v>
      </c>
      <c r="E18" s="26">
        <v>22.193999999999999</v>
      </c>
      <c r="F18" s="26">
        <v>17.8095</v>
      </c>
      <c r="G18" s="26">
        <v>29.693999999999999</v>
      </c>
      <c r="H18" s="26">
        <v>19.495999999999999</v>
      </c>
    </row>
    <row r="19" spans="1:16">
      <c r="B19" s="25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</row>
    <row r="20" spans="1:16">
      <c r="B20" s="4"/>
    </row>
    <row r="21" spans="1:16">
      <c r="A21" t="s">
        <v>428</v>
      </c>
      <c r="B21" s="4" t="s">
        <v>130</v>
      </c>
      <c r="C21" s="4" t="s">
        <v>79</v>
      </c>
      <c r="D21" s="4" t="s">
        <v>80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16">
      <c r="B22" s="4"/>
      <c r="C22" t="s">
        <v>5</v>
      </c>
      <c r="D22" s="26">
        <v>884.13</v>
      </c>
      <c r="E22" s="26">
        <v>951.49599999999998</v>
      </c>
      <c r="F22" s="26">
        <v>658.68299999999999</v>
      </c>
      <c r="G22" s="26">
        <v>579.09100000000001</v>
      </c>
      <c r="H22" s="26">
        <v>831.48599999999999</v>
      </c>
    </row>
    <row r="23" spans="1:16">
      <c r="B23" s="4"/>
      <c r="C23" t="s">
        <v>6</v>
      </c>
      <c r="D23" s="26">
        <v>650.54999999999995</v>
      </c>
      <c r="E23" s="26">
        <v>526.79399999999998</v>
      </c>
      <c r="F23" s="26">
        <v>717.49599999999998</v>
      </c>
      <c r="G23" s="26">
        <v>569.58600000000001</v>
      </c>
      <c r="H23" s="26">
        <v>827.495</v>
      </c>
    </row>
    <row r="24" spans="1:16">
      <c r="B24" s="4"/>
      <c r="C24" s="20" t="s">
        <v>57</v>
      </c>
      <c r="D24" s="26">
        <v>349.56</v>
      </c>
      <c r="E24" s="26">
        <v>359.39499999999998</v>
      </c>
      <c r="F24" s="26">
        <v>145.39500000000001</v>
      </c>
      <c r="G24" s="26">
        <v>261.19450000000001</v>
      </c>
      <c r="H24" s="26">
        <v>337.39499999999998</v>
      </c>
    </row>
    <row r="25" spans="1:16">
      <c r="B25" s="4"/>
      <c r="C25" t="s">
        <v>52</v>
      </c>
      <c r="D25" s="26">
        <v>22.16</v>
      </c>
      <c r="E25" s="26">
        <v>17.895</v>
      </c>
      <c r="F25" s="26">
        <v>21.495999999999999</v>
      </c>
      <c r="G25" s="26">
        <v>17.295000000000002</v>
      </c>
      <c r="H25" s="26">
        <v>16.393999999999998</v>
      </c>
    </row>
    <row r="26" spans="1:16">
      <c r="B26" s="4"/>
    </row>
    <row r="27" spans="1:16">
      <c r="B27" s="4"/>
    </row>
    <row r="28" spans="1:16">
      <c r="A28" t="s">
        <v>427</v>
      </c>
      <c r="B28" s="4" t="s">
        <v>131</v>
      </c>
      <c r="C28" s="4" t="s">
        <v>79</v>
      </c>
      <c r="D28" s="4" t="s">
        <v>80</v>
      </c>
      <c r="E28" s="4" t="s">
        <v>81</v>
      </c>
      <c r="F28" s="4" t="s">
        <v>82</v>
      </c>
      <c r="G28" s="4" t="s">
        <v>83</v>
      </c>
      <c r="H28" s="4" t="s">
        <v>84</v>
      </c>
    </row>
    <row r="29" spans="1:16">
      <c r="B29" s="4"/>
      <c r="C29" t="s">
        <v>5</v>
      </c>
      <c r="D29" s="26">
        <v>4.6900000000000004</v>
      </c>
      <c r="E29" s="26">
        <v>10.39</v>
      </c>
      <c r="F29" s="26">
        <v>6.4950000000000001</v>
      </c>
      <c r="G29" s="26">
        <v>4.2</v>
      </c>
      <c r="H29" s="26">
        <v>3.2090000000000001</v>
      </c>
    </row>
    <row r="30" spans="1:16">
      <c r="B30" s="4"/>
      <c r="C30" t="s">
        <v>6</v>
      </c>
      <c r="D30" s="26">
        <v>453.19</v>
      </c>
      <c r="E30" s="26">
        <v>224.96</v>
      </c>
      <c r="F30" s="26">
        <v>318.39</v>
      </c>
      <c r="G30" s="26">
        <v>421.39</v>
      </c>
      <c r="H30" s="26">
        <v>224.29</v>
      </c>
    </row>
    <row r="31" spans="1:16">
      <c r="B31" s="4"/>
      <c r="C31" s="20" t="s">
        <v>57</v>
      </c>
      <c r="D31" s="26">
        <v>434.09</v>
      </c>
      <c r="E31" s="26">
        <v>224.2</v>
      </c>
      <c r="F31" s="26">
        <v>313.10000000000002</v>
      </c>
      <c r="G31" s="26">
        <v>214.29</v>
      </c>
      <c r="H31" s="26">
        <v>239.23</v>
      </c>
    </row>
    <row r="32" spans="1:16">
      <c r="B32" s="4"/>
      <c r="C32" t="s">
        <v>52</v>
      </c>
      <c r="D32" s="26">
        <v>983.495</v>
      </c>
      <c r="E32" s="26">
        <v>1456.3040000000001</v>
      </c>
      <c r="F32" s="26">
        <v>1117.0409999999999</v>
      </c>
      <c r="G32" s="26">
        <v>964.39</v>
      </c>
      <c r="H32" s="26">
        <v>871.3</v>
      </c>
    </row>
    <row r="33" spans="1:8">
      <c r="B33" s="4"/>
    </row>
    <row r="34" spans="1:8">
      <c r="B34" s="4"/>
    </row>
    <row r="35" spans="1:8">
      <c r="A35" t="s">
        <v>426</v>
      </c>
      <c r="B35" s="4" t="s">
        <v>132</v>
      </c>
      <c r="C35" s="4" t="s">
        <v>79</v>
      </c>
      <c r="D35" s="4" t="s">
        <v>80</v>
      </c>
      <c r="E35" s="4" t="s">
        <v>81</v>
      </c>
      <c r="F35" s="4" t="s">
        <v>82</v>
      </c>
      <c r="G35" s="4" t="s">
        <v>83</v>
      </c>
      <c r="H35" s="4" t="s">
        <v>84</v>
      </c>
    </row>
    <row r="36" spans="1:8">
      <c r="B36" s="4"/>
      <c r="C36" t="s">
        <v>5</v>
      </c>
      <c r="D36" s="26">
        <v>69.290000000000006</v>
      </c>
      <c r="E36" s="26">
        <v>48.29</v>
      </c>
      <c r="F36" s="26">
        <v>32.505000000000003</v>
      </c>
      <c r="G36" s="26">
        <v>69.293999999999997</v>
      </c>
      <c r="H36" s="26">
        <v>39.595999999999997</v>
      </c>
    </row>
    <row r="37" spans="1:8">
      <c r="B37" s="4"/>
      <c r="C37" t="s">
        <v>6</v>
      </c>
      <c r="D37" s="26">
        <v>193.495</v>
      </c>
      <c r="E37" s="26">
        <v>129.43899999999999</v>
      </c>
      <c r="F37" s="26">
        <v>89.492999999999995</v>
      </c>
      <c r="G37" s="26">
        <v>93.191999999999993</v>
      </c>
      <c r="H37" s="26">
        <v>132.59899999999999</v>
      </c>
    </row>
    <row r="38" spans="1:8">
      <c r="B38" s="4"/>
      <c r="C38" s="20" t="s">
        <v>57</v>
      </c>
      <c r="D38" s="26">
        <v>94.23912</v>
      </c>
      <c r="E38" s="26">
        <v>184.79339999999999</v>
      </c>
      <c r="F38" s="26">
        <v>194.93119999999999</v>
      </c>
      <c r="G38" s="26">
        <v>291.12900000000002</v>
      </c>
      <c r="H38" s="26">
        <v>219.39400000000001</v>
      </c>
    </row>
    <row r="39" spans="1:8">
      <c r="B39" s="4"/>
      <c r="C39" t="s">
        <v>52</v>
      </c>
      <c r="D39" s="26">
        <v>285.23</v>
      </c>
      <c r="E39" s="26">
        <v>112.194</v>
      </c>
      <c r="F39" s="26">
        <v>195.34899999999999</v>
      </c>
      <c r="G39" s="26">
        <v>313.58999999999997</v>
      </c>
      <c r="H39" s="26">
        <v>29.395</v>
      </c>
    </row>
    <row r="40" spans="1:8">
      <c r="B40" s="4"/>
    </row>
    <row r="41" spans="1:8">
      <c r="B41" s="4"/>
    </row>
    <row r="42" spans="1:8">
      <c r="A42" t="s">
        <v>425</v>
      </c>
      <c r="B42" s="4" t="s">
        <v>133</v>
      </c>
      <c r="C42" s="4" t="s">
        <v>79</v>
      </c>
      <c r="D42" s="4" t="s">
        <v>80</v>
      </c>
      <c r="E42" s="4" t="s">
        <v>81</v>
      </c>
      <c r="F42" s="4" t="s">
        <v>82</v>
      </c>
      <c r="G42" s="4" t="s">
        <v>83</v>
      </c>
      <c r="H42" s="4" t="s">
        <v>84</v>
      </c>
    </row>
    <row r="43" spans="1:8">
      <c r="B43" s="4"/>
      <c r="C43" t="s">
        <v>5</v>
      </c>
      <c r="D43" s="26">
        <v>23.54</v>
      </c>
      <c r="E43" s="26">
        <v>43.23</v>
      </c>
      <c r="F43" s="26">
        <v>19.434999999999999</v>
      </c>
      <c r="G43" s="26">
        <v>27.349</v>
      </c>
      <c r="H43" s="26">
        <v>43.545999999999999</v>
      </c>
    </row>
    <row r="44" spans="1:8">
      <c r="B44" s="4"/>
      <c r="C44" t="s">
        <v>6</v>
      </c>
      <c r="D44" s="26">
        <v>69.293000000000006</v>
      </c>
      <c r="E44" s="26">
        <v>190.39500000000001</v>
      </c>
      <c r="F44" s="26">
        <v>98.459000000000003</v>
      </c>
      <c r="G44" s="26">
        <v>68.294300000000007</v>
      </c>
      <c r="H44" s="26">
        <v>88.349000000000004</v>
      </c>
    </row>
    <row r="45" spans="1:8">
      <c r="B45" s="4"/>
      <c r="C45" s="20" t="s">
        <v>57</v>
      </c>
      <c r="D45" s="26">
        <v>295.39400000000001</v>
      </c>
      <c r="E45" s="26">
        <v>398.34899999999999</v>
      </c>
      <c r="F45" s="26">
        <v>213.29300000000001</v>
      </c>
      <c r="G45" s="26">
        <v>154.19300000000001</v>
      </c>
      <c r="H45" s="26">
        <v>177.23920000000001</v>
      </c>
    </row>
    <row r="46" spans="1:8">
      <c r="B46" s="4"/>
      <c r="C46" t="s">
        <v>52</v>
      </c>
      <c r="D46" s="26">
        <v>185.29300000000001</v>
      </c>
      <c r="E46" s="26">
        <v>173.12899999999999</v>
      </c>
      <c r="F46" s="26">
        <v>143.495</v>
      </c>
      <c r="G46" s="26">
        <v>439.59399999999999</v>
      </c>
      <c r="H46" s="26">
        <v>143.453</v>
      </c>
    </row>
    <row r="47" spans="1:8">
      <c r="B47" s="4"/>
    </row>
    <row r="48" spans="1:8">
      <c r="B48" s="4"/>
    </row>
    <row r="49" spans="1:8">
      <c r="A49" t="s">
        <v>424</v>
      </c>
      <c r="B49" s="4" t="s">
        <v>134</v>
      </c>
      <c r="C49" s="4" t="s">
        <v>79</v>
      </c>
      <c r="D49" s="4" t="s">
        <v>80</v>
      </c>
      <c r="E49" s="4" t="s">
        <v>81</v>
      </c>
      <c r="F49" s="4" t="s">
        <v>82</v>
      </c>
      <c r="G49" s="4" t="s">
        <v>83</v>
      </c>
      <c r="H49" s="4" t="s">
        <v>84</v>
      </c>
    </row>
    <row r="50" spans="1:8">
      <c r="B50" s="4"/>
      <c r="C50" t="s">
        <v>5</v>
      </c>
      <c r="D50" s="26">
        <v>25.98</v>
      </c>
      <c r="E50" s="26">
        <v>31.597000000000001</v>
      </c>
      <c r="F50" s="26">
        <v>18.596</v>
      </c>
      <c r="G50" s="26">
        <v>33.686999999999998</v>
      </c>
      <c r="H50" s="26">
        <v>38.325000000000003</v>
      </c>
    </row>
    <row r="51" spans="1:8">
      <c r="B51" s="4"/>
      <c r="C51" t="s">
        <v>6</v>
      </c>
      <c r="D51" s="26">
        <v>163.99</v>
      </c>
      <c r="E51" s="26">
        <v>173.1985</v>
      </c>
      <c r="F51" s="26">
        <v>159.29839999999999</v>
      </c>
      <c r="G51" s="26">
        <v>255.28299999999999</v>
      </c>
      <c r="H51" s="26">
        <v>72.1845</v>
      </c>
    </row>
    <row r="52" spans="1:8">
      <c r="B52" s="4"/>
      <c r="C52" s="20" t="s">
        <v>57</v>
      </c>
      <c r="D52" s="26">
        <v>242.81</v>
      </c>
      <c r="E52" s="26">
        <v>319.54849999999999</v>
      </c>
      <c r="F52" s="26">
        <v>229.58500000000001</v>
      </c>
      <c r="G52" s="26">
        <v>189.583</v>
      </c>
      <c r="H52" s="26">
        <v>375.28300000000002</v>
      </c>
    </row>
    <row r="53" spans="1:8">
      <c r="B53" s="4"/>
      <c r="C53" t="s">
        <v>52</v>
      </c>
      <c r="D53" s="26">
        <v>108.56</v>
      </c>
      <c r="E53" s="26">
        <v>274.12799999999999</v>
      </c>
      <c r="F53" s="26">
        <v>238.58699999999999</v>
      </c>
      <c r="G53" s="26">
        <v>283.12700000000001</v>
      </c>
      <c r="H53" s="26">
        <v>125.28400000000001</v>
      </c>
    </row>
    <row r="54" spans="1:8">
      <c r="B54" s="4"/>
    </row>
    <row r="55" spans="1:8">
      <c r="B55" s="4"/>
    </row>
    <row r="56" spans="1:8">
      <c r="A56" t="s">
        <v>423</v>
      </c>
      <c r="B56" s="4" t="s">
        <v>135</v>
      </c>
      <c r="C56" s="4" t="s">
        <v>79</v>
      </c>
      <c r="D56" s="4" t="s">
        <v>80</v>
      </c>
      <c r="E56" s="4" t="s">
        <v>81</v>
      </c>
      <c r="F56" s="4" t="s">
        <v>82</v>
      </c>
      <c r="G56" s="4" t="s">
        <v>83</v>
      </c>
      <c r="H56" s="4" t="s">
        <v>84</v>
      </c>
    </row>
    <row r="57" spans="1:8">
      <c r="B57" s="4"/>
      <c r="C57" t="s">
        <v>5</v>
      </c>
      <c r="D57" s="26">
        <v>4.17</v>
      </c>
      <c r="E57" s="26">
        <v>2.68</v>
      </c>
      <c r="F57" s="26">
        <v>8.3957999999999995</v>
      </c>
      <c r="G57" s="26">
        <v>12.129</v>
      </c>
      <c r="H57" s="26">
        <v>11.848000000000001</v>
      </c>
    </row>
    <row r="58" spans="1:8">
      <c r="B58" s="4"/>
      <c r="C58" t="s">
        <v>6</v>
      </c>
      <c r="D58" s="26">
        <v>138.82</v>
      </c>
      <c r="E58" s="26">
        <v>252.1294</v>
      </c>
      <c r="F58" s="26">
        <v>261.11099999999999</v>
      </c>
      <c r="G58" s="26">
        <v>132.48599999999999</v>
      </c>
      <c r="H58" s="26">
        <v>169.58600000000001</v>
      </c>
    </row>
    <row r="59" spans="1:8">
      <c r="B59" s="4"/>
      <c r="C59" s="20" t="s">
        <v>57</v>
      </c>
      <c r="D59" s="26">
        <v>352.6</v>
      </c>
      <c r="E59" s="26">
        <v>133.684</v>
      </c>
      <c r="F59" s="26">
        <v>128.23830000000001</v>
      </c>
      <c r="G59" s="26">
        <v>237.989</v>
      </c>
      <c r="H59" s="26">
        <v>211.38499999999999</v>
      </c>
    </row>
    <row r="60" spans="1:8">
      <c r="B60" s="4"/>
      <c r="C60" t="s">
        <v>52</v>
      </c>
      <c r="D60" s="26">
        <v>1271.55</v>
      </c>
      <c r="E60" s="26">
        <v>1489.479</v>
      </c>
      <c r="F60" s="26">
        <v>1101.385</v>
      </c>
      <c r="G60" s="26">
        <v>1121.385</v>
      </c>
      <c r="H60" s="26">
        <v>733.28399999999999</v>
      </c>
    </row>
    <row r="61" spans="1:8">
      <c r="B61" s="4"/>
    </row>
    <row r="62" spans="1:8">
      <c r="B62" s="4"/>
    </row>
    <row r="63" spans="1:8">
      <c r="A63" t="s">
        <v>422</v>
      </c>
      <c r="B63" s="4" t="s">
        <v>136</v>
      </c>
      <c r="C63" s="4" t="s">
        <v>79</v>
      </c>
      <c r="D63" s="4" t="s">
        <v>80</v>
      </c>
      <c r="E63" s="4" t="s">
        <v>81</v>
      </c>
      <c r="F63" s="4" t="s">
        <v>82</v>
      </c>
      <c r="G63" s="4" t="s">
        <v>83</v>
      </c>
      <c r="H63" s="4" t="s">
        <v>84</v>
      </c>
    </row>
    <row r="64" spans="1:8">
      <c r="B64" s="4"/>
      <c r="C64" t="s">
        <v>5</v>
      </c>
      <c r="D64" s="26">
        <v>68.099999999999994</v>
      </c>
      <c r="E64" s="26">
        <v>45.238999999999997</v>
      </c>
      <c r="F64" s="26">
        <v>73.128</v>
      </c>
      <c r="G64" s="26">
        <v>22.486000000000001</v>
      </c>
      <c r="H64" s="26">
        <v>32.183999999999997</v>
      </c>
    </row>
    <row r="65" spans="1:8">
      <c r="B65" s="4"/>
      <c r="C65" t="s">
        <v>6</v>
      </c>
      <c r="D65" s="26">
        <v>113.09</v>
      </c>
      <c r="E65" s="26">
        <v>143.12899999999999</v>
      </c>
      <c r="F65" s="26">
        <v>122.596</v>
      </c>
      <c r="G65" s="26">
        <v>173.12</v>
      </c>
      <c r="H65" s="26">
        <v>144.93</v>
      </c>
    </row>
    <row r="66" spans="1:8">
      <c r="B66" s="4"/>
      <c r="C66" s="20" t="s">
        <v>57</v>
      </c>
      <c r="D66" s="26">
        <v>107.4</v>
      </c>
      <c r="E66" s="26">
        <v>98.385000000000005</v>
      </c>
      <c r="F66" s="26">
        <v>114.18</v>
      </c>
      <c r="G66" s="26">
        <v>133.12899999999999</v>
      </c>
      <c r="H66" s="26">
        <v>79.484999999999999</v>
      </c>
    </row>
    <row r="67" spans="1:8">
      <c r="B67" s="4"/>
      <c r="C67" t="s">
        <v>52</v>
      </c>
      <c r="D67" s="26">
        <v>316.13</v>
      </c>
      <c r="E67" s="26">
        <v>410.48500000000001</v>
      </c>
      <c r="F67" s="26">
        <v>298.54000000000002</v>
      </c>
      <c r="G67" s="26">
        <v>462.19</v>
      </c>
      <c r="H67" s="26">
        <v>553.19799999999998</v>
      </c>
    </row>
    <row r="68" spans="1:8">
      <c r="B68" s="4"/>
    </row>
    <row r="69" spans="1:8">
      <c r="B69" s="4"/>
    </row>
    <row r="70" spans="1:8">
      <c r="A70" t="s">
        <v>421</v>
      </c>
      <c r="B70" s="4" t="s">
        <v>137</v>
      </c>
      <c r="C70" s="4" t="s">
        <v>79</v>
      </c>
      <c r="D70" s="4" t="s">
        <v>80</v>
      </c>
      <c r="E70" s="4" t="s">
        <v>81</v>
      </c>
      <c r="F70" s="4" t="s">
        <v>82</v>
      </c>
      <c r="G70" s="4" t="s">
        <v>83</v>
      </c>
      <c r="H70" s="4" t="s">
        <v>84</v>
      </c>
    </row>
    <row r="71" spans="1:8">
      <c r="B71" s="4"/>
      <c r="C71" t="s">
        <v>5</v>
      </c>
      <c r="D71" s="26">
        <v>15.33</v>
      </c>
      <c r="E71" s="26">
        <v>21.58</v>
      </c>
      <c r="F71" s="26">
        <v>11.57</v>
      </c>
      <c r="G71" s="26">
        <v>17.384</v>
      </c>
      <c r="H71" s="26">
        <v>23.853999999999999</v>
      </c>
    </row>
    <row r="72" spans="1:8">
      <c r="B72" s="4"/>
      <c r="C72" t="s">
        <v>6</v>
      </c>
      <c r="D72" s="26">
        <v>17.62</v>
      </c>
      <c r="E72" s="26">
        <v>23.129000000000001</v>
      </c>
      <c r="F72" s="26">
        <v>18.489999999999998</v>
      </c>
      <c r="G72" s="26">
        <v>21.094000000000001</v>
      </c>
      <c r="H72" s="26">
        <v>14.23</v>
      </c>
    </row>
    <row r="73" spans="1:8">
      <c r="B73" s="4"/>
      <c r="C73" s="20" t="s">
        <v>57</v>
      </c>
      <c r="D73" s="26">
        <v>97.76</v>
      </c>
      <c r="E73" s="26">
        <v>102.129</v>
      </c>
      <c r="F73" s="26">
        <v>84.39</v>
      </c>
      <c r="G73" s="26">
        <v>104.298</v>
      </c>
      <c r="H73" s="26">
        <v>79.48</v>
      </c>
    </row>
    <row r="74" spans="1:8">
      <c r="B74" s="4"/>
      <c r="C74" t="s">
        <v>52</v>
      </c>
      <c r="D74" s="26">
        <v>456.35</v>
      </c>
      <c r="E74" s="26">
        <v>664.29</v>
      </c>
      <c r="F74" s="26">
        <v>472.19</v>
      </c>
      <c r="G74" s="26">
        <v>436.49</v>
      </c>
      <c r="H74" s="26">
        <v>562.12</v>
      </c>
    </row>
    <row r="75" spans="1:8">
      <c r="B75" s="4"/>
    </row>
    <row r="76" spans="1:8">
      <c r="B76" s="4"/>
    </row>
    <row r="77" spans="1:8">
      <c r="A77" t="s">
        <v>420</v>
      </c>
      <c r="B77" s="4" t="s">
        <v>138</v>
      </c>
      <c r="C77" s="4" t="s">
        <v>79</v>
      </c>
      <c r="D77" s="4" t="s">
        <v>80</v>
      </c>
      <c r="E77" s="4" t="s">
        <v>81</v>
      </c>
      <c r="F77" s="4" t="s">
        <v>82</v>
      </c>
      <c r="G77" s="4" t="s">
        <v>83</v>
      </c>
      <c r="H77" s="4" t="s">
        <v>84</v>
      </c>
    </row>
    <row r="78" spans="1:8">
      <c r="C78" t="s">
        <v>5</v>
      </c>
      <c r="D78" s="26">
        <v>2.4</v>
      </c>
      <c r="E78" s="26">
        <v>6.3920000000000003</v>
      </c>
      <c r="F78" s="26">
        <v>12.129</v>
      </c>
      <c r="G78" s="26">
        <v>5.3</v>
      </c>
      <c r="H78" s="26">
        <v>10.58</v>
      </c>
    </row>
    <row r="79" spans="1:8">
      <c r="B79" s="4"/>
      <c r="C79" t="s">
        <v>6</v>
      </c>
      <c r="D79" s="26">
        <v>1.1299999999999999</v>
      </c>
      <c r="E79" s="26">
        <v>2.1890000000000001</v>
      </c>
      <c r="F79" s="26">
        <v>1.95</v>
      </c>
      <c r="G79" s="26">
        <v>3.29</v>
      </c>
      <c r="H79" s="26">
        <v>2.39</v>
      </c>
    </row>
    <row r="80" spans="1:8">
      <c r="B80" s="4"/>
      <c r="C80" s="20" t="s">
        <v>57</v>
      </c>
      <c r="D80" s="26">
        <v>9.65</v>
      </c>
      <c r="E80" s="26">
        <v>15.32</v>
      </c>
      <c r="F80" s="26">
        <v>8.4700000000000006</v>
      </c>
      <c r="G80" s="26">
        <v>21.58</v>
      </c>
      <c r="H80" s="26">
        <v>15.68</v>
      </c>
    </row>
    <row r="81" spans="1:8">
      <c r="B81" s="4"/>
      <c r="C81" t="s">
        <v>52</v>
      </c>
      <c r="D81" s="26">
        <v>29.3</v>
      </c>
      <c r="E81" s="26">
        <v>43.19</v>
      </c>
      <c r="F81" s="26">
        <v>33.29</v>
      </c>
      <c r="G81" s="26">
        <v>29.68</v>
      </c>
      <c r="H81" s="26">
        <v>41.39</v>
      </c>
    </row>
    <row r="82" spans="1:8">
      <c r="B82" s="4"/>
    </row>
    <row r="83" spans="1:8">
      <c r="B83" s="4"/>
    </row>
    <row r="84" spans="1:8">
      <c r="A84" t="s">
        <v>419</v>
      </c>
      <c r="B84" s="4" t="s">
        <v>139</v>
      </c>
      <c r="C84" s="4" t="s">
        <v>79</v>
      </c>
      <c r="D84" s="4" t="s">
        <v>80</v>
      </c>
      <c r="E84" s="4" t="s">
        <v>81</v>
      </c>
      <c r="F84" s="4" t="s">
        <v>82</v>
      </c>
      <c r="G84" s="4" t="s">
        <v>83</v>
      </c>
      <c r="H84" s="4" t="s">
        <v>84</v>
      </c>
    </row>
    <row r="85" spans="1:8">
      <c r="C85" t="s">
        <v>5</v>
      </c>
      <c r="D85" s="26">
        <v>186.46</v>
      </c>
      <c r="E85" s="26">
        <v>147.45599999999999</v>
      </c>
      <c r="F85" s="26">
        <v>144.13900000000001</v>
      </c>
      <c r="G85" s="26">
        <v>138.96680000000001</v>
      </c>
      <c r="H85" s="26">
        <v>201.19200000000001</v>
      </c>
    </row>
    <row r="86" spans="1:8">
      <c r="C86" t="s">
        <v>6</v>
      </c>
      <c r="D86" s="26">
        <v>229.35</v>
      </c>
      <c r="E86" s="26">
        <v>189.85900000000001</v>
      </c>
      <c r="F86" s="26">
        <v>265.12799999999999</v>
      </c>
      <c r="G86" s="26">
        <v>209.184</v>
      </c>
      <c r="H86" s="26">
        <v>253.12799999999999</v>
      </c>
    </row>
    <row r="87" spans="1:8">
      <c r="C87" s="20" t="s">
        <v>57</v>
      </c>
      <c r="D87" s="26">
        <v>546.72</v>
      </c>
      <c r="E87" s="26">
        <v>613.59199999999998</v>
      </c>
      <c r="F87" s="26">
        <v>559.29399999999998</v>
      </c>
      <c r="G87" s="26">
        <v>497.12400000000002</v>
      </c>
      <c r="H87" s="26">
        <v>611.39499999999998</v>
      </c>
    </row>
    <row r="88" spans="1:8">
      <c r="C88" t="s">
        <v>52</v>
      </c>
      <c r="D88" s="26">
        <v>330.47</v>
      </c>
      <c r="E88" s="26">
        <v>298.58600000000001</v>
      </c>
      <c r="F88" s="26">
        <v>212.48599999999999</v>
      </c>
      <c r="G88" s="26">
        <v>378.38200000000001</v>
      </c>
      <c r="H88" s="26">
        <v>233.12979999999999</v>
      </c>
    </row>
    <row r="91" spans="1:8">
      <c r="D91" s="4"/>
      <c r="E91" s="4"/>
      <c r="F91" s="4"/>
      <c r="G91" s="4"/>
      <c r="H91" s="4"/>
    </row>
  </sheetData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9"/>
  <sheetViews>
    <sheetView workbookViewId="0">
      <selection activeCell="N11" sqref="N11"/>
    </sheetView>
  </sheetViews>
  <sheetFormatPr defaultRowHeight="15"/>
  <cols>
    <col min="1" max="1" width="16.140625" customWidth="1"/>
    <col min="3" max="3" width="29" customWidth="1"/>
  </cols>
  <sheetData>
    <row r="2" spans="1:8">
      <c r="A2" s="4" t="s">
        <v>443</v>
      </c>
    </row>
    <row r="4" spans="1:8" ht="15.75">
      <c r="C4" s="24" t="s">
        <v>442</v>
      </c>
    </row>
    <row r="6" spans="1:8">
      <c r="B6" s="4"/>
    </row>
    <row r="7" spans="1:8">
      <c r="A7" t="s">
        <v>444</v>
      </c>
      <c r="B7" s="4" t="s">
        <v>130</v>
      </c>
      <c r="C7" s="4" t="s">
        <v>79</v>
      </c>
      <c r="D7" s="4" t="s">
        <v>80</v>
      </c>
      <c r="E7" s="4" t="s">
        <v>81</v>
      </c>
      <c r="F7" s="4" t="s">
        <v>82</v>
      </c>
      <c r="G7" s="4" t="s">
        <v>83</v>
      </c>
      <c r="H7" s="4" t="s">
        <v>84</v>
      </c>
    </row>
    <row r="8" spans="1:8">
      <c r="B8" s="4"/>
      <c r="C8" t="s">
        <v>5</v>
      </c>
      <c r="D8" s="26">
        <v>562.34</v>
      </c>
      <c r="E8" s="26">
        <v>743.23</v>
      </c>
      <c r="F8" s="26">
        <v>642.30600000000004</v>
      </c>
      <c r="G8" s="26">
        <v>854.23900000000003</v>
      </c>
      <c r="H8" s="26">
        <v>496.23</v>
      </c>
    </row>
    <row r="9" spans="1:8">
      <c r="B9" s="4"/>
      <c r="C9" t="s">
        <v>439</v>
      </c>
      <c r="D9" s="26">
        <v>121.496</v>
      </c>
      <c r="E9" s="26">
        <v>229.30500000000001</v>
      </c>
      <c r="F9" s="26">
        <v>131.30500000000001</v>
      </c>
      <c r="G9" s="26">
        <v>19.495999999999999</v>
      </c>
      <c r="H9" s="26">
        <v>22.4956</v>
      </c>
    </row>
    <row r="10" spans="1:8">
      <c r="B10" s="4"/>
      <c r="C10" s="20" t="s">
        <v>440</v>
      </c>
      <c r="D10" s="26">
        <v>29.43</v>
      </c>
      <c r="E10" s="26">
        <v>259.23099999999999</v>
      </c>
      <c r="F10" s="26">
        <v>602.43299999999999</v>
      </c>
      <c r="G10" s="26">
        <v>392.12</v>
      </c>
      <c r="H10" s="26">
        <v>322.19400000000002</v>
      </c>
    </row>
    <row r="11" spans="1:8">
      <c r="B11" s="4"/>
      <c r="C11" t="s">
        <v>435</v>
      </c>
      <c r="D11" s="26">
        <v>295.12400000000002</v>
      </c>
      <c r="E11" s="26">
        <v>312.49299999999999</v>
      </c>
      <c r="F11" s="26">
        <v>321.43900000000002</v>
      </c>
      <c r="G11" s="26">
        <v>259.23899999999998</v>
      </c>
      <c r="H11" s="26">
        <v>412.32499999999999</v>
      </c>
    </row>
    <row r="12" spans="1:8">
      <c r="B12" s="4"/>
      <c r="C12" t="s">
        <v>441</v>
      </c>
      <c r="D12" s="26">
        <v>421.43200000000002</v>
      </c>
      <c r="E12" s="26">
        <v>321.93400000000003</v>
      </c>
      <c r="F12" s="26">
        <v>839.529</v>
      </c>
      <c r="G12" s="26">
        <v>459.12</v>
      </c>
      <c r="H12" s="26">
        <v>259.12400000000002</v>
      </c>
    </row>
    <row r="13" spans="1:8">
      <c r="B13" s="4"/>
    </row>
    <row r="14" spans="1:8">
      <c r="A14" t="s">
        <v>445</v>
      </c>
      <c r="B14" s="4" t="s">
        <v>135</v>
      </c>
      <c r="C14" s="4" t="s">
        <v>79</v>
      </c>
      <c r="D14" s="4" t="s">
        <v>80</v>
      </c>
      <c r="E14" s="4" t="s">
        <v>81</v>
      </c>
      <c r="F14" s="4" t="s">
        <v>82</v>
      </c>
      <c r="G14" s="4" t="s">
        <v>83</v>
      </c>
      <c r="H14" s="4" t="s">
        <v>84</v>
      </c>
    </row>
    <row r="15" spans="1:8">
      <c r="B15" s="4"/>
      <c r="C15" t="s">
        <v>5</v>
      </c>
      <c r="D15" s="26">
        <v>86.239000000000004</v>
      </c>
      <c r="E15" s="26">
        <v>39.569000000000003</v>
      </c>
      <c r="F15" s="26">
        <v>93.438999999999993</v>
      </c>
      <c r="G15" s="26">
        <v>69.294200000000004</v>
      </c>
      <c r="H15" s="26">
        <v>49.693899999999999</v>
      </c>
    </row>
    <row r="16" spans="1:8">
      <c r="B16" s="4"/>
      <c r="C16" t="s">
        <v>439</v>
      </c>
      <c r="D16" s="26">
        <v>1043.596</v>
      </c>
      <c r="E16" s="26">
        <v>1159.5999999999999</v>
      </c>
      <c r="F16" s="26">
        <v>647.23</v>
      </c>
      <c r="G16" s="26">
        <v>964.49599999999998</v>
      </c>
      <c r="H16" s="26">
        <v>942.29399999999998</v>
      </c>
    </row>
    <row r="17" spans="2:8">
      <c r="B17" s="4"/>
      <c r="C17" s="20" t="s">
        <v>440</v>
      </c>
      <c r="D17" s="26">
        <v>932.58799999999997</v>
      </c>
      <c r="E17" s="26">
        <v>654.28</v>
      </c>
      <c r="F17" s="26">
        <v>552.95000000000005</v>
      </c>
      <c r="G17" s="26">
        <v>554.28399999999999</v>
      </c>
      <c r="H17" s="26">
        <v>812.54899999999998</v>
      </c>
    </row>
    <row r="18" spans="2:8">
      <c r="B18" s="4"/>
      <c r="C18" t="s">
        <v>435</v>
      </c>
      <c r="D18" s="26">
        <v>869.23800000000006</v>
      </c>
      <c r="E18" s="26">
        <v>713.95</v>
      </c>
      <c r="F18" s="26">
        <v>354.12900000000002</v>
      </c>
      <c r="G18" s="26">
        <v>239.94</v>
      </c>
      <c r="H18" s="26">
        <v>512.495</v>
      </c>
    </row>
    <row r="19" spans="2:8">
      <c r="B19" s="4"/>
      <c r="C19" t="s">
        <v>441</v>
      </c>
      <c r="D19" s="26">
        <v>142.12899999999999</v>
      </c>
      <c r="E19" s="26">
        <v>569.12900000000002</v>
      </c>
      <c r="F19" s="26">
        <v>512.43499999999995</v>
      </c>
      <c r="G19" s="26">
        <v>219.54900000000001</v>
      </c>
      <c r="H19" s="26">
        <v>67.494</v>
      </c>
    </row>
  </sheetData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3"/>
  <sheetViews>
    <sheetView workbookViewId="0">
      <selection activeCell="Q2" sqref="Q2:U2"/>
    </sheetView>
  </sheetViews>
  <sheetFormatPr defaultRowHeight="15"/>
  <cols>
    <col min="1" max="1" width="10.5703125" customWidth="1"/>
  </cols>
  <sheetData>
    <row r="1" spans="1:26">
      <c r="A1" s="4" t="s">
        <v>446</v>
      </c>
    </row>
    <row r="2" spans="1:26">
      <c r="A2" s="75" t="s">
        <v>140</v>
      </c>
      <c r="B2" s="75"/>
      <c r="C2" s="75"/>
      <c r="D2" s="75"/>
      <c r="E2" s="75"/>
      <c r="F2" s="75"/>
      <c r="G2" s="75" t="s">
        <v>433</v>
      </c>
      <c r="H2" s="75"/>
      <c r="I2" s="75"/>
      <c r="J2" s="75"/>
      <c r="K2" s="75"/>
      <c r="L2" s="75" t="s">
        <v>395</v>
      </c>
      <c r="M2" s="75"/>
      <c r="N2" s="75"/>
      <c r="O2" s="75"/>
      <c r="P2" s="75"/>
      <c r="Q2" s="75" t="s">
        <v>396</v>
      </c>
      <c r="R2" s="75"/>
      <c r="S2" s="75"/>
      <c r="T2" s="75"/>
      <c r="U2" s="75"/>
      <c r="V2" s="4" t="s">
        <v>434</v>
      </c>
    </row>
    <row r="3" spans="1:26">
      <c r="B3" s="4" t="s">
        <v>168</v>
      </c>
      <c r="C3" s="4" t="s">
        <v>345</v>
      </c>
      <c r="D3" s="4" t="s">
        <v>346</v>
      </c>
      <c r="E3" s="4" t="s">
        <v>347</v>
      </c>
      <c r="F3" s="4" t="s">
        <v>348</v>
      </c>
      <c r="G3" s="4" t="s">
        <v>168</v>
      </c>
      <c r="H3" s="4" t="s">
        <v>345</v>
      </c>
      <c r="I3" s="4" t="s">
        <v>346</v>
      </c>
      <c r="J3" s="4" t="s">
        <v>347</v>
      </c>
      <c r="K3" s="4" t="s">
        <v>348</v>
      </c>
      <c r="L3" s="4" t="s">
        <v>168</v>
      </c>
      <c r="M3" s="4" t="s">
        <v>345</v>
      </c>
      <c r="N3" s="4" t="s">
        <v>346</v>
      </c>
      <c r="O3" s="4" t="s">
        <v>347</v>
      </c>
      <c r="P3" s="4" t="s">
        <v>348</v>
      </c>
      <c r="Q3" s="4" t="s">
        <v>168</v>
      </c>
      <c r="R3" s="4" t="s">
        <v>345</v>
      </c>
      <c r="S3" s="4" t="s">
        <v>346</v>
      </c>
      <c r="T3" s="4" t="s">
        <v>347</v>
      </c>
      <c r="U3" s="4" t="s">
        <v>348</v>
      </c>
      <c r="V3" s="4" t="s">
        <v>168</v>
      </c>
      <c r="W3" s="4" t="s">
        <v>345</v>
      </c>
      <c r="X3" s="4" t="s">
        <v>346</v>
      </c>
      <c r="Y3" s="4" t="s">
        <v>347</v>
      </c>
      <c r="Z3" s="4" t="s">
        <v>348</v>
      </c>
    </row>
    <row r="4" spans="1:26">
      <c r="A4" s="70" t="s">
        <v>431</v>
      </c>
      <c r="B4" s="17">
        <v>4.9599999999999998E-2</v>
      </c>
      <c r="C4" s="17">
        <v>1.9E-2</v>
      </c>
      <c r="D4" s="17">
        <v>0.14949999999999999</v>
      </c>
      <c r="E4" s="17">
        <v>0.29630000000000001</v>
      </c>
      <c r="F4" s="17">
        <v>0.12934999999999999</v>
      </c>
      <c r="G4" s="17">
        <v>0.89529999999999998</v>
      </c>
      <c r="H4" s="17">
        <v>0.79930000000000001</v>
      </c>
      <c r="I4" s="17">
        <v>0.9012</v>
      </c>
      <c r="J4" s="17">
        <v>0.88419999999999999</v>
      </c>
      <c r="K4" s="17">
        <v>0.79349999999999998</v>
      </c>
      <c r="L4" s="17">
        <v>0.59599999999999997</v>
      </c>
      <c r="M4" s="17">
        <v>0.62929999999999997</v>
      </c>
      <c r="N4" s="17">
        <v>0.4965</v>
      </c>
      <c r="O4" s="17">
        <v>0.72319999999999995</v>
      </c>
      <c r="P4" s="17">
        <v>0.4965</v>
      </c>
      <c r="Q4" s="17">
        <v>0.49540000000000001</v>
      </c>
      <c r="R4" s="17">
        <v>0.54923</v>
      </c>
      <c r="S4" s="17">
        <v>0.62139999999999995</v>
      </c>
      <c r="T4" s="17">
        <v>0.2954</v>
      </c>
      <c r="U4" s="17">
        <v>0.59350000000000003</v>
      </c>
      <c r="V4" s="17">
        <v>0.193</v>
      </c>
      <c r="W4" s="17">
        <v>0.34539999999999998</v>
      </c>
      <c r="X4" s="17">
        <v>0.21293999999999999</v>
      </c>
      <c r="Y4" s="17">
        <v>0.11940000000000001</v>
      </c>
      <c r="Z4" s="17">
        <v>0.12942999999999999</v>
      </c>
    </row>
    <row r="5" spans="1:26">
      <c r="A5" s="70" t="s">
        <v>432</v>
      </c>
      <c r="B5" s="17">
        <v>2.9399999999999999E-2</v>
      </c>
      <c r="C5" s="17">
        <v>0.19839999999999999</v>
      </c>
      <c r="D5" s="17">
        <v>0.13829</v>
      </c>
      <c r="E5" s="17">
        <v>0.13954</v>
      </c>
      <c r="F5" s="17">
        <v>0.34852</v>
      </c>
      <c r="G5" s="17">
        <v>0.85623000000000005</v>
      </c>
      <c r="H5" s="17">
        <v>0.91269999999999996</v>
      </c>
      <c r="I5" s="17">
        <v>0.68340000000000001</v>
      </c>
      <c r="J5" s="17">
        <v>0.89490000000000003</v>
      </c>
      <c r="K5" s="17">
        <v>0.77929999999999999</v>
      </c>
      <c r="L5" s="17">
        <v>0.59389999999999998</v>
      </c>
      <c r="M5" s="17">
        <v>0.4239</v>
      </c>
      <c r="N5" s="17">
        <v>0.32954</v>
      </c>
      <c r="O5" s="17">
        <v>0.78539999999999999</v>
      </c>
      <c r="P5" s="17">
        <v>0.45934000000000003</v>
      </c>
      <c r="Q5" s="17">
        <v>0.53993999999999998</v>
      </c>
      <c r="R5" s="17">
        <v>0.66922999999999999</v>
      </c>
      <c r="S5" s="17">
        <v>0.34949999999999998</v>
      </c>
      <c r="T5" s="17">
        <v>0.59340000000000004</v>
      </c>
      <c r="U5" s="17">
        <v>0.69779999999999998</v>
      </c>
      <c r="V5" s="17">
        <v>0.23799999999999999</v>
      </c>
      <c r="W5" s="17">
        <v>0.31280000000000002</v>
      </c>
      <c r="X5" s="17">
        <v>0.22189999999999999</v>
      </c>
      <c r="Y5" s="17">
        <v>0.34389999999999998</v>
      </c>
      <c r="Z5" s="17">
        <v>0.39340000000000003</v>
      </c>
    </row>
    <row r="7" spans="1:26">
      <c r="A7" s="51"/>
    </row>
    <row r="13" spans="1:26">
      <c r="A13" s="51"/>
    </row>
    <row r="19" spans="1:1">
      <c r="A19" s="51"/>
    </row>
    <row r="25" spans="1:1">
      <c r="A25" s="51"/>
    </row>
    <row r="33" spans="1:1">
      <c r="A33" s="51"/>
    </row>
  </sheetData>
  <mergeCells count="4">
    <mergeCell ref="A2:F2"/>
    <mergeCell ref="G2:K2"/>
    <mergeCell ref="L2:P2"/>
    <mergeCell ref="Q2:U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6"/>
  <sheetViews>
    <sheetView zoomScale="59" zoomScaleNormal="59" workbookViewId="0">
      <selection activeCell="Y175" sqref="A1:XFD1048576"/>
    </sheetView>
  </sheetViews>
  <sheetFormatPr defaultRowHeight="15"/>
  <cols>
    <col min="1" max="1" width="12.140625" style="55" bestFit="1" customWidth="1"/>
    <col min="2" max="16384" width="9.140625" style="55"/>
  </cols>
  <sheetData>
    <row r="1" spans="1:16">
      <c r="A1" s="55" t="s">
        <v>447</v>
      </c>
    </row>
    <row r="3" spans="1:16">
      <c r="A3" s="89" t="s">
        <v>435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</row>
    <row r="4" spans="1:16">
      <c r="A4" s="90" t="s">
        <v>381</v>
      </c>
      <c r="B4" s="90" t="s">
        <v>382</v>
      </c>
      <c r="C4" s="90" t="s">
        <v>383</v>
      </c>
      <c r="D4" s="90" t="s">
        <v>384</v>
      </c>
      <c r="E4" s="90" t="s">
        <v>385</v>
      </c>
      <c r="F4" s="90" t="s">
        <v>386</v>
      </c>
      <c r="G4" s="90"/>
      <c r="H4" s="90"/>
      <c r="I4" s="90"/>
      <c r="J4" s="90"/>
      <c r="K4" s="90"/>
      <c r="L4" s="90"/>
      <c r="M4" s="90"/>
      <c r="N4" s="90"/>
      <c r="O4" s="90"/>
      <c r="P4" s="90"/>
    </row>
    <row r="5" spans="1:16">
      <c r="A5" s="91">
        <v>42387</v>
      </c>
      <c r="B5" s="90">
        <v>16.91</v>
      </c>
      <c r="C5" s="90">
        <v>16.21</v>
      </c>
      <c r="D5" s="90">
        <v>16.16</v>
      </c>
      <c r="E5" s="90">
        <v>16.25</v>
      </c>
      <c r="F5" s="90">
        <v>16.25</v>
      </c>
      <c r="G5" s="90">
        <v>16.350000000000001</v>
      </c>
      <c r="H5" s="90">
        <v>16.47</v>
      </c>
      <c r="I5" s="90">
        <v>16.489999999999998</v>
      </c>
      <c r="J5" s="90">
        <v>16.61</v>
      </c>
      <c r="K5" s="90">
        <v>16.3</v>
      </c>
      <c r="L5" s="90">
        <v>16.350000000000001</v>
      </c>
      <c r="M5" s="90">
        <v>16.47</v>
      </c>
      <c r="N5" s="90">
        <v>16.489999999999998</v>
      </c>
      <c r="O5" s="90">
        <v>16.61</v>
      </c>
      <c r="P5" s="90">
        <v>16.3</v>
      </c>
    </row>
    <row r="6" spans="1:16">
      <c r="A6" s="91">
        <v>42393</v>
      </c>
      <c r="B6" s="90">
        <v>17.100000000000001</v>
      </c>
      <c r="C6" s="90">
        <v>17.28</v>
      </c>
      <c r="D6" s="90">
        <v>17.23</v>
      </c>
      <c r="E6" s="90">
        <v>17.14</v>
      </c>
      <c r="F6" s="90">
        <v>17.25</v>
      </c>
      <c r="G6" s="90">
        <v>17.28</v>
      </c>
      <c r="H6" s="90">
        <v>17.29</v>
      </c>
      <c r="I6" s="90">
        <v>17.29</v>
      </c>
      <c r="J6" s="90">
        <v>17.28</v>
      </c>
      <c r="K6" s="90">
        <v>17.21</v>
      </c>
      <c r="L6" s="90">
        <v>17.28</v>
      </c>
      <c r="M6" s="90">
        <v>17.29</v>
      </c>
      <c r="N6" s="90">
        <v>17.190000000000001</v>
      </c>
      <c r="O6" s="90">
        <v>17.28</v>
      </c>
      <c r="P6" s="90">
        <v>17.21</v>
      </c>
    </row>
    <row r="7" spans="1:16">
      <c r="A7" s="91">
        <v>42399</v>
      </c>
      <c r="B7" s="90">
        <v>17.93</v>
      </c>
      <c r="C7" s="90">
        <v>17.34</v>
      </c>
      <c r="D7" s="90">
        <v>18.920000000000002</v>
      </c>
      <c r="E7" s="90">
        <v>19.43</v>
      </c>
      <c r="F7" s="90">
        <v>18.809999999999999</v>
      </c>
      <c r="G7" s="90">
        <v>18.41</v>
      </c>
      <c r="H7" s="90">
        <v>18.32</v>
      </c>
      <c r="I7" s="90">
        <v>18.829999999999998</v>
      </c>
      <c r="J7" s="90">
        <v>18.32</v>
      </c>
      <c r="K7" s="90">
        <v>18.329999999999998</v>
      </c>
      <c r="L7" s="90">
        <v>18.41</v>
      </c>
      <c r="M7" s="90">
        <v>19.32</v>
      </c>
      <c r="N7" s="90">
        <v>18.829999999999998</v>
      </c>
      <c r="O7" s="90">
        <v>19.32</v>
      </c>
      <c r="P7" s="90">
        <v>18.329999999999998</v>
      </c>
    </row>
    <row r="8" spans="1:16">
      <c r="A8" s="91">
        <v>42407</v>
      </c>
      <c r="B8" s="90">
        <v>19.239999999999998</v>
      </c>
      <c r="C8" s="90">
        <v>18.22</v>
      </c>
      <c r="D8" s="90">
        <v>19.37</v>
      </c>
      <c r="E8" s="90">
        <v>20.18</v>
      </c>
      <c r="F8" s="90">
        <v>19.55</v>
      </c>
      <c r="G8" s="90">
        <v>19.600000000000001</v>
      </c>
      <c r="H8" s="90">
        <v>19.3</v>
      </c>
      <c r="I8" s="90">
        <v>20.65</v>
      </c>
      <c r="J8" s="90">
        <v>20.350000000000001</v>
      </c>
      <c r="K8" s="90">
        <v>19.43</v>
      </c>
      <c r="L8" s="90">
        <v>19.600000000000001</v>
      </c>
      <c r="M8" s="90">
        <v>19.3</v>
      </c>
      <c r="N8" s="90">
        <v>20.65</v>
      </c>
      <c r="O8" s="90">
        <v>20.350000000000001</v>
      </c>
      <c r="P8" s="90">
        <v>19.43</v>
      </c>
    </row>
    <row r="9" spans="1:16">
      <c r="A9" s="91">
        <v>42421</v>
      </c>
      <c r="B9" s="90">
        <v>20.32</v>
      </c>
      <c r="C9" s="90">
        <v>20.29</v>
      </c>
      <c r="D9" s="90">
        <v>20.420000000000002</v>
      </c>
      <c r="E9" s="90">
        <v>21.85</v>
      </c>
      <c r="F9" s="90">
        <v>20.48</v>
      </c>
      <c r="G9" s="90">
        <v>20.54</v>
      </c>
      <c r="H9" s="90">
        <v>20.45</v>
      </c>
      <c r="I9" s="90">
        <v>21.35</v>
      </c>
      <c r="J9" s="90">
        <v>21.66</v>
      </c>
      <c r="K9" s="90">
        <v>20.65</v>
      </c>
      <c r="L9" s="90">
        <v>20.23</v>
      </c>
      <c r="M9" s="90">
        <v>21.12</v>
      </c>
      <c r="N9" s="90">
        <v>21.22</v>
      </c>
      <c r="O9" s="90">
        <v>21.15</v>
      </c>
      <c r="P9" s="90">
        <v>20.21</v>
      </c>
    </row>
    <row r="10" spans="1:16">
      <c r="A10" s="91">
        <v>42435</v>
      </c>
      <c r="B10" s="90">
        <v>21.11</v>
      </c>
      <c r="C10" s="90">
        <v>21.5</v>
      </c>
      <c r="D10" s="90">
        <v>22.5</v>
      </c>
      <c r="E10" s="90">
        <v>22.11</v>
      </c>
      <c r="F10" s="90">
        <v>21.91</v>
      </c>
      <c r="G10" s="90">
        <v>22.31</v>
      </c>
      <c r="H10" s="90">
        <v>21.2</v>
      </c>
      <c r="I10" s="90">
        <v>21.96</v>
      </c>
      <c r="J10" s="90">
        <v>22.9</v>
      </c>
      <c r="K10" s="90">
        <v>22.26</v>
      </c>
      <c r="L10" s="90">
        <v>21.31</v>
      </c>
      <c r="M10" s="90">
        <v>22.2</v>
      </c>
      <c r="N10" s="90">
        <v>21.96</v>
      </c>
      <c r="O10" s="90">
        <v>22.9</v>
      </c>
      <c r="P10" s="90">
        <v>22.26</v>
      </c>
    </row>
    <row r="11" spans="1:16">
      <c r="A11" s="91">
        <v>42449</v>
      </c>
      <c r="B11" s="90">
        <v>23.61</v>
      </c>
      <c r="C11" s="90">
        <v>22.52</v>
      </c>
      <c r="D11" s="90">
        <v>22.31</v>
      </c>
      <c r="E11" s="90">
        <v>23.62</v>
      </c>
      <c r="F11" s="90">
        <v>23.9</v>
      </c>
      <c r="G11" s="90">
        <v>23.31</v>
      </c>
      <c r="H11" s="90">
        <v>23.12</v>
      </c>
      <c r="I11" s="90">
        <v>23.5</v>
      </c>
      <c r="J11" s="90">
        <v>23.31</v>
      </c>
      <c r="K11" s="90">
        <v>22.22</v>
      </c>
      <c r="L11" s="90">
        <v>22.31</v>
      </c>
      <c r="M11" s="90">
        <v>22.12</v>
      </c>
      <c r="N11" s="90">
        <v>23.46</v>
      </c>
      <c r="O11" s="90">
        <v>23.31</v>
      </c>
      <c r="P11" s="90">
        <v>23.22</v>
      </c>
    </row>
    <row r="12" spans="1:16">
      <c r="A12" s="91">
        <v>42465</v>
      </c>
      <c r="B12" s="90">
        <v>22.96</v>
      </c>
      <c r="C12" s="90">
        <v>22.91</v>
      </c>
      <c r="D12" s="90">
        <v>23.86</v>
      </c>
      <c r="E12" s="90">
        <v>20.2</v>
      </c>
      <c r="F12" s="90">
        <v>22.54</v>
      </c>
      <c r="G12" s="90">
        <v>23.5</v>
      </c>
      <c r="H12" s="90">
        <v>22.1</v>
      </c>
      <c r="I12" s="90">
        <v>23.15</v>
      </c>
      <c r="J12" s="90">
        <v>22.8</v>
      </c>
      <c r="K12" s="90">
        <v>23.3</v>
      </c>
      <c r="L12" s="90">
        <v>23.5</v>
      </c>
      <c r="M12" s="90">
        <v>22.1</v>
      </c>
      <c r="N12" s="90">
        <v>23.53</v>
      </c>
      <c r="O12" s="90">
        <v>22.8</v>
      </c>
      <c r="P12" s="90">
        <v>23.3</v>
      </c>
    </row>
    <row r="13" spans="1:16">
      <c r="A13" s="91">
        <v>42472</v>
      </c>
      <c r="B13" s="90">
        <v>22.11</v>
      </c>
      <c r="C13" s="90">
        <v>22.97</v>
      </c>
      <c r="D13" s="90">
        <v>23.28</v>
      </c>
      <c r="E13" s="90">
        <v>21.21</v>
      </c>
      <c r="F13" s="90">
        <v>23.91</v>
      </c>
      <c r="G13" s="90">
        <v>22.31</v>
      </c>
      <c r="H13" s="90">
        <v>22.45</v>
      </c>
      <c r="I13" s="90">
        <v>23.23</v>
      </c>
      <c r="J13" s="90">
        <v>22.59</v>
      </c>
      <c r="K13" s="90">
        <v>20.55</v>
      </c>
      <c r="L13" s="90">
        <v>23.31</v>
      </c>
      <c r="M13" s="90">
        <v>23.45</v>
      </c>
      <c r="N13" s="90">
        <v>23.65</v>
      </c>
      <c r="O13" s="90">
        <v>23.59</v>
      </c>
      <c r="P13" s="90">
        <v>20.55</v>
      </c>
    </row>
    <row r="14" spans="1:16">
      <c r="A14" s="91">
        <v>42477</v>
      </c>
      <c r="B14" s="90">
        <v>21.03</v>
      </c>
      <c r="C14" s="90">
        <v>20.91</v>
      </c>
      <c r="D14" s="90">
        <v>21.04</v>
      </c>
      <c r="E14" s="90">
        <v>20.89</v>
      </c>
      <c r="F14" s="90">
        <v>22.91</v>
      </c>
      <c r="G14" s="90">
        <v>20.92</v>
      </c>
      <c r="H14" s="90">
        <v>20.91</v>
      </c>
      <c r="I14" s="90">
        <v>20.18</v>
      </c>
      <c r="J14" s="90">
        <v>21.01</v>
      </c>
      <c r="K14" s="90">
        <v>20.11</v>
      </c>
      <c r="L14" s="90">
        <v>21.92</v>
      </c>
      <c r="M14" s="90">
        <v>20.91</v>
      </c>
      <c r="N14" s="90">
        <v>21.5</v>
      </c>
      <c r="O14" s="90">
        <v>20.010000000000002</v>
      </c>
      <c r="P14" s="90">
        <v>20.11</v>
      </c>
    </row>
    <row r="15" spans="1:16">
      <c r="A15" s="91">
        <v>42484</v>
      </c>
      <c r="B15" s="90">
        <v>23.03</v>
      </c>
      <c r="C15" s="90">
        <v>24.91</v>
      </c>
      <c r="D15" s="90">
        <v>24.04</v>
      </c>
      <c r="E15" s="90">
        <v>20.89</v>
      </c>
      <c r="F15" s="90">
        <v>24.91</v>
      </c>
      <c r="G15" s="90">
        <v>23.92</v>
      </c>
      <c r="H15" s="90">
        <v>24.91</v>
      </c>
      <c r="I15" s="90">
        <v>20.309999999999999</v>
      </c>
      <c r="J15" s="90">
        <v>24.01</v>
      </c>
      <c r="K15" s="90">
        <v>20.11</v>
      </c>
      <c r="L15" s="90">
        <v>24.92</v>
      </c>
      <c r="M15" s="90">
        <v>24.91</v>
      </c>
      <c r="N15" s="90">
        <v>24.15</v>
      </c>
      <c r="O15" s="90">
        <v>24.01</v>
      </c>
      <c r="P15" s="90">
        <v>20.11</v>
      </c>
    </row>
    <row r="16" spans="1:16">
      <c r="A16" s="91">
        <v>42491</v>
      </c>
      <c r="B16" s="90">
        <v>27.33</v>
      </c>
      <c r="C16" s="90">
        <v>22.31</v>
      </c>
      <c r="D16" s="90">
        <v>23.97</v>
      </c>
      <c r="E16" s="90">
        <v>23.31</v>
      </c>
      <c r="F16" s="90">
        <v>20.41</v>
      </c>
      <c r="G16" s="90">
        <v>23.44</v>
      </c>
      <c r="H16" s="90">
        <v>24.11</v>
      </c>
      <c r="I16" s="90">
        <v>20.18</v>
      </c>
      <c r="J16" s="90">
        <v>21.34</v>
      </c>
      <c r="K16" s="90">
        <v>20.52</v>
      </c>
      <c r="L16" s="90">
        <v>23.44</v>
      </c>
      <c r="M16" s="90">
        <v>24.11</v>
      </c>
      <c r="N16" s="90">
        <v>25.23</v>
      </c>
      <c r="O16" s="90">
        <v>21.34</v>
      </c>
      <c r="P16" s="90">
        <v>20.52</v>
      </c>
    </row>
    <row r="17" spans="1:16">
      <c r="A17" s="91">
        <v>42498</v>
      </c>
      <c r="B17" s="90">
        <v>24.46</v>
      </c>
      <c r="C17" s="90">
        <v>23.42</v>
      </c>
      <c r="D17" s="90">
        <v>24.93</v>
      </c>
      <c r="E17" s="90">
        <v>22.33</v>
      </c>
      <c r="F17" s="90">
        <v>23.12</v>
      </c>
      <c r="G17" s="90">
        <v>20.34</v>
      </c>
      <c r="H17" s="90">
        <v>23.46</v>
      </c>
      <c r="I17" s="90">
        <v>23.33</v>
      </c>
      <c r="J17" s="90">
        <v>22.34</v>
      </c>
      <c r="K17" s="90">
        <v>23.3</v>
      </c>
      <c r="L17" s="90">
        <v>20.34</v>
      </c>
      <c r="M17" s="90">
        <v>21.46</v>
      </c>
      <c r="N17" s="90">
        <v>21.18</v>
      </c>
      <c r="O17" s="90">
        <v>22.15</v>
      </c>
      <c r="P17" s="90">
        <v>22.3</v>
      </c>
    </row>
    <row r="18" spans="1:16">
      <c r="A18" s="91">
        <v>42505</v>
      </c>
      <c r="B18" s="90">
        <v>22.53</v>
      </c>
      <c r="C18" s="90">
        <v>22.2</v>
      </c>
      <c r="D18" s="90">
        <v>22.65</v>
      </c>
      <c r="E18" s="90">
        <v>23.82</v>
      </c>
      <c r="F18" s="90">
        <v>22.3</v>
      </c>
      <c r="G18" s="90">
        <v>22.31</v>
      </c>
      <c r="H18" s="90">
        <v>23.53</v>
      </c>
      <c r="I18" s="90">
        <v>23.65</v>
      </c>
      <c r="J18" s="90">
        <v>22.8</v>
      </c>
      <c r="K18" s="90">
        <v>23.45</v>
      </c>
      <c r="L18" s="90">
        <v>22.31</v>
      </c>
      <c r="M18" s="90">
        <v>23.53</v>
      </c>
      <c r="N18" s="90">
        <v>20.309999999999999</v>
      </c>
      <c r="O18" s="90">
        <v>22.24</v>
      </c>
      <c r="P18" s="90">
        <v>22.45</v>
      </c>
    </row>
    <row r="19" spans="1:16">
      <c r="A19" s="91">
        <v>42512</v>
      </c>
      <c r="B19" s="90">
        <v>27.18</v>
      </c>
      <c r="C19" s="90">
        <v>25.11</v>
      </c>
      <c r="D19" s="90">
        <v>22.4</v>
      </c>
      <c r="E19" s="90">
        <v>25.27</v>
      </c>
      <c r="F19" s="90">
        <v>27.25</v>
      </c>
      <c r="G19" s="90">
        <v>21.11</v>
      </c>
      <c r="H19" s="90">
        <v>27.11</v>
      </c>
      <c r="I19" s="90">
        <v>22.15</v>
      </c>
      <c r="J19" s="90">
        <v>21.31</v>
      </c>
      <c r="K19" s="90">
        <v>27.07</v>
      </c>
      <c r="L19" s="90">
        <v>21.11</v>
      </c>
      <c r="M19" s="90">
        <v>27.11</v>
      </c>
      <c r="N19" s="90">
        <v>30.11</v>
      </c>
      <c r="O19" s="90">
        <v>25.35</v>
      </c>
      <c r="P19" s="90">
        <v>27.07</v>
      </c>
    </row>
    <row r="20" spans="1:16">
      <c r="A20" s="91">
        <v>42519</v>
      </c>
      <c r="B20" s="90">
        <v>21.5</v>
      </c>
      <c r="C20" s="90">
        <v>25.32</v>
      </c>
      <c r="D20" s="90">
        <v>27.5</v>
      </c>
      <c r="E20" s="90">
        <v>21.1</v>
      </c>
      <c r="F20" s="90">
        <v>27.11</v>
      </c>
      <c r="G20" s="90">
        <v>22.11</v>
      </c>
      <c r="H20" s="90">
        <v>21.5</v>
      </c>
      <c r="I20" s="90">
        <v>21.31</v>
      </c>
      <c r="J20" s="90">
        <v>27.11</v>
      </c>
      <c r="K20" s="90">
        <v>27.54</v>
      </c>
      <c r="L20" s="90">
        <v>22.11</v>
      </c>
      <c r="M20" s="90">
        <v>21.5</v>
      </c>
      <c r="N20" s="90">
        <v>21.33</v>
      </c>
      <c r="O20" s="90">
        <v>25.62</v>
      </c>
      <c r="P20" s="90">
        <v>27.54</v>
      </c>
    </row>
    <row r="21" spans="1:16">
      <c r="A21" s="91">
        <v>42526</v>
      </c>
      <c r="B21" s="90">
        <v>27.15</v>
      </c>
      <c r="C21" s="90">
        <v>21.25</v>
      </c>
      <c r="D21" s="90">
        <v>21.45</v>
      </c>
      <c r="E21" s="90">
        <v>30.3</v>
      </c>
      <c r="F21" s="90">
        <v>21.45</v>
      </c>
      <c r="G21" s="90">
        <v>23.64</v>
      </c>
      <c r="H21" s="90">
        <v>27.15</v>
      </c>
      <c r="I21" s="90">
        <v>31.91</v>
      </c>
      <c r="J21" s="90">
        <v>27.13</v>
      </c>
      <c r="K21" s="90">
        <v>21.33</v>
      </c>
      <c r="L21" s="90">
        <v>23.64</v>
      </c>
      <c r="M21" s="90">
        <v>27.15</v>
      </c>
      <c r="N21" s="90">
        <v>22.65</v>
      </c>
      <c r="O21" s="90">
        <v>25.3</v>
      </c>
      <c r="P21" s="90">
        <v>21.33</v>
      </c>
    </row>
    <row r="22" spans="1:16">
      <c r="A22" s="91">
        <v>42533</v>
      </c>
      <c r="B22" s="90">
        <v>21.23</v>
      </c>
      <c r="C22" s="90">
        <v>25.24</v>
      </c>
      <c r="D22" s="90">
        <v>21.1</v>
      </c>
      <c r="E22" s="90">
        <v>30.26</v>
      </c>
      <c r="F22" s="90">
        <v>21.31</v>
      </c>
      <c r="G22" s="90">
        <v>23.64</v>
      </c>
      <c r="H22" s="90">
        <v>21.23</v>
      </c>
      <c r="I22" s="90">
        <v>24.64</v>
      </c>
      <c r="J22" s="90">
        <v>27.15</v>
      </c>
      <c r="K22" s="90">
        <v>25.14</v>
      </c>
      <c r="L22" s="90">
        <v>23.64</v>
      </c>
      <c r="M22" s="90">
        <v>21.23</v>
      </c>
      <c r="N22" s="90">
        <v>22.15</v>
      </c>
      <c r="O22" s="90">
        <v>25.42</v>
      </c>
      <c r="P22" s="90">
        <v>25.14</v>
      </c>
    </row>
    <row r="23" spans="1:16">
      <c r="A23" s="92">
        <v>42540</v>
      </c>
      <c r="B23" s="90">
        <v>21.11</v>
      </c>
      <c r="C23" s="90">
        <v>25.1</v>
      </c>
      <c r="D23" s="90">
        <v>21.15</v>
      </c>
      <c r="E23" s="90">
        <v>22.23</v>
      </c>
      <c r="F23" s="90">
        <v>22.32</v>
      </c>
      <c r="G23" s="90">
        <v>25.43</v>
      </c>
      <c r="H23" s="90">
        <v>21.11</v>
      </c>
      <c r="I23" s="90">
        <v>25.54</v>
      </c>
      <c r="J23" s="90">
        <v>24.34</v>
      </c>
      <c r="K23" s="90">
        <v>25.35</v>
      </c>
      <c r="L23" s="90">
        <v>25.43</v>
      </c>
      <c r="M23" s="90">
        <v>21.11</v>
      </c>
      <c r="N23" s="90">
        <v>22.15</v>
      </c>
      <c r="O23" s="90">
        <v>24.34</v>
      </c>
      <c r="P23" s="90">
        <v>25.35</v>
      </c>
    </row>
    <row r="24" spans="1:16">
      <c r="A24" s="91">
        <v>42547</v>
      </c>
      <c r="B24" s="90">
        <v>25.31</v>
      </c>
      <c r="C24" s="90">
        <v>21.51</v>
      </c>
      <c r="D24" s="90">
        <v>22.12</v>
      </c>
      <c r="E24" s="90">
        <v>22.23</v>
      </c>
      <c r="F24" s="90">
        <v>25.31</v>
      </c>
      <c r="G24" s="90">
        <v>21.21</v>
      </c>
      <c r="H24" s="90">
        <v>22.31</v>
      </c>
      <c r="I24" s="90">
        <v>25.62</v>
      </c>
      <c r="J24" s="90">
        <v>24.210999999999999</v>
      </c>
      <c r="K24" s="90">
        <v>21.13</v>
      </c>
      <c r="L24" s="90">
        <v>21.21</v>
      </c>
      <c r="M24" s="90">
        <v>21.31</v>
      </c>
      <c r="N24" s="90">
        <v>21.24</v>
      </c>
      <c r="O24" s="90">
        <v>23.210999999999999</v>
      </c>
      <c r="P24" s="90">
        <v>21.13</v>
      </c>
    </row>
    <row r="25" spans="1:16">
      <c r="A25" s="91">
        <v>42555</v>
      </c>
      <c r="B25" s="90">
        <v>30.11</v>
      </c>
      <c r="C25" s="90">
        <v>22.55</v>
      </c>
      <c r="D25" s="90">
        <v>22.11</v>
      </c>
      <c r="E25" s="90">
        <v>21.14</v>
      </c>
      <c r="F25" s="90">
        <v>21.3</v>
      </c>
      <c r="G25" s="90">
        <v>27.01</v>
      </c>
      <c r="H25" s="90">
        <v>30.11</v>
      </c>
      <c r="I25" s="90">
        <v>24.12</v>
      </c>
      <c r="J25" s="90">
        <v>23.31</v>
      </c>
      <c r="K25" s="90">
        <v>21.24</v>
      </c>
      <c r="L25" s="90">
        <v>27.01</v>
      </c>
      <c r="M25" s="90">
        <v>30.11</v>
      </c>
      <c r="N25" s="90">
        <v>25.35</v>
      </c>
      <c r="O25" s="90">
        <v>23.31</v>
      </c>
      <c r="P25" s="90">
        <v>21.94</v>
      </c>
    </row>
    <row r="26" spans="1:16">
      <c r="A26" s="91">
        <v>42562</v>
      </c>
      <c r="B26" s="90">
        <v>21.33</v>
      </c>
      <c r="C26" s="90">
        <v>24.62</v>
      </c>
      <c r="D26" s="90">
        <v>22.35</v>
      </c>
      <c r="E26" s="90">
        <v>21.27</v>
      </c>
      <c r="F26" s="90">
        <v>21.3</v>
      </c>
      <c r="G26" s="90">
        <v>24.11</v>
      </c>
      <c r="H26" s="90">
        <v>21.33</v>
      </c>
      <c r="I26" s="90">
        <v>22.12</v>
      </c>
      <c r="J26" s="90">
        <v>23.26</v>
      </c>
      <c r="K26" s="90">
        <v>25.36</v>
      </c>
      <c r="L26" s="90">
        <v>23.11</v>
      </c>
      <c r="M26" s="90">
        <v>21.33</v>
      </c>
      <c r="N26" s="90">
        <v>25.62</v>
      </c>
      <c r="O26" s="90">
        <v>27.26</v>
      </c>
      <c r="P26" s="90">
        <v>25.36</v>
      </c>
    </row>
    <row r="27" spans="1:16">
      <c r="A27" s="91">
        <v>42569</v>
      </c>
      <c r="B27" s="90">
        <v>22.65</v>
      </c>
      <c r="C27" s="90">
        <v>22.15</v>
      </c>
      <c r="D27" s="90">
        <v>23.16</v>
      </c>
      <c r="E27" s="90">
        <v>22.27</v>
      </c>
      <c r="F27" s="90">
        <v>20.12</v>
      </c>
      <c r="G27" s="90">
        <v>22.01</v>
      </c>
      <c r="H27" s="90">
        <v>22.65</v>
      </c>
      <c r="I27" s="90">
        <v>24.44</v>
      </c>
      <c r="J27" s="90">
        <v>24.33</v>
      </c>
      <c r="K27" s="90">
        <v>23.26</v>
      </c>
      <c r="L27" s="90">
        <v>23.01</v>
      </c>
      <c r="M27" s="90">
        <v>22.65</v>
      </c>
      <c r="N27" s="90">
        <v>24.3</v>
      </c>
      <c r="O27" s="90">
        <v>25.33</v>
      </c>
      <c r="P27" s="90">
        <v>23.26</v>
      </c>
    </row>
    <row r="28" spans="1:16">
      <c r="A28" s="91">
        <v>42576</v>
      </c>
      <c r="B28" s="90">
        <v>22.15</v>
      </c>
      <c r="C28" s="90">
        <v>20.32</v>
      </c>
      <c r="D28" s="90">
        <v>22.54</v>
      </c>
      <c r="E28" s="90">
        <v>22.2</v>
      </c>
      <c r="F28" s="90">
        <v>23.12</v>
      </c>
      <c r="G28" s="90">
        <v>21.43</v>
      </c>
      <c r="H28" s="90">
        <v>22.15</v>
      </c>
      <c r="I28" s="90">
        <v>22.13</v>
      </c>
      <c r="J28" s="90">
        <v>23.22</v>
      </c>
      <c r="K28" s="90">
        <v>21.37</v>
      </c>
      <c r="L28" s="90">
        <v>23.43</v>
      </c>
      <c r="M28" s="90">
        <v>22.15</v>
      </c>
      <c r="N28" s="90">
        <v>22.42</v>
      </c>
      <c r="O28" s="90">
        <v>23.22</v>
      </c>
      <c r="P28" s="90">
        <v>21.37</v>
      </c>
    </row>
    <row r="29" spans="1:16">
      <c r="A29" s="91">
        <v>42584</v>
      </c>
      <c r="B29" s="90">
        <v>21.31</v>
      </c>
      <c r="C29" s="90">
        <v>23.17</v>
      </c>
      <c r="D29" s="90">
        <v>21.21</v>
      </c>
      <c r="E29" s="90">
        <v>22.41</v>
      </c>
      <c r="F29" s="90">
        <v>21.36</v>
      </c>
      <c r="G29" s="90">
        <v>22.12</v>
      </c>
      <c r="H29" s="90">
        <v>21.24</v>
      </c>
      <c r="I29" s="90">
        <v>22.34</v>
      </c>
      <c r="J29" s="90">
        <v>25.11</v>
      </c>
      <c r="K29" s="90">
        <v>22.34</v>
      </c>
      <c r="L29" s="90">
        <v>22.12</v>
      </c>
      <c r="M29" s="90">
        <v>21.24</v>
      </c>
      <c r="N29" s="90">
        <v>22.34</v>
      </c>
      <c r="O29" s="90">
        <v>25.11</v>
      </c>
      <c r="P29" s="90">
        <v>22.34</v>
      </c>
    </row>
    <row r="30" spans="1:16">
      <c r="A30" s="91">
        <v>42591</v>
      </c>
      <c r="B30" s="90">
        <v>21.91</v>
      </c>
      <c r="C30" s="90">
        <v>22.6</v>
      </c>
      <c r="D30" s="90">
        <v>20.2</v>
      </c>
      <c r="E30" s="90">
        <v>21.91</v>
      </c>
      <c r="F30" s="90">
        <v>22.42</v>
      </c>
      <c r="G30" s="90">
        <v>21.44</v>
      </c>
      <c r="H30" s="90">
        <v>22.35</v>
      </c>
      <c r="I30" s="90">
        <v>21.1</v>
      </c>
      <c r="J30" s="90">
        <v>23.41</v>
      </c>
      <c r="K30" s="90">
        <v>22.1</v>
      </c>
      <c r="L30" s="90">
        <v>22.44</v>
      </c>
      <c r="M30" s="90">
        <v>22.35</v>
      </c>
      <c r="N30" s="90">
        <v>22.1</v>
      </c>
      <c r="O30" s="90">
        <v>21.41</v>
      </c>
      <c r="P30" s="90">
        <v>22.1</v>
      </c>
    </row>
    <row r="31" spans="1:16">
      <c r="A31" s="91">
        <v>42598</v>
      </c>
      <c r="B31" s="90">
        <v>22.64</v>
      </c>
      <c r="C31" s="90">
        <v>22.11</v>
      </c>
      <c r="D31" s="90">
        <v>22.45</v>
      </c>
      <c r="E31" s="90">
        <v>22.22</v>
      </c>
      <c r="F31" s="90">
        <v>22.85</v>
      </c>
      <c r="G31" s="90">
        <v>22.84</v>
      </c>
      <c r="H31" s="90">
        <v>22.62</v>
      </c>
      <c r="I31" s="90">
        <v>21.31</v>
      </c>
      <c r="J31" s="90">
        <v>22.58</v>
      </c>
      <c r="K31" s="90">
        <v>21.31</v>
      </c>
      <c r="L31" s="90">
        <v>22.14</v>
      </c>
      <c r="M31" s="90">
        <v>23.62</v>
      </c>
      <c r="N31" s="90">
        <v>21.31</v>
      </c>
      <c r="O31" s="90">
        <v>22.51</v>
      </c>
      <c r="P31" s="90">
        <v>21.31</v>
      </c>
    </row>
    <row r="32" spans="1:16">
      <c r="A32" s="91">
        <v>42605</v>
      </c>
      <c r="B32" s="90">
        <v>21.54</v>
      </c>
      <c r="C32" s="90">
        <v>23.12</v>
      </c>
      <c r="D32" s="90">
        <v>21.56</v>
      </c>
      <c r="E32" s="90">
        <v>23.17</v>
      </c>
      <c r="F32" s="90">
        <v>22.12</v>
      </c>
      <c r="G32" s="90">
        <v>21.36</v>
      </c>
      <c r="H32" s="90">
        <v>22.3</v>
      </c>
      <c r="I32" s="90">
        <v>22.11</v>
      </c>
      <c r="J32" s="90">
        <v>22.42</v>
      </c>
      <c r="K32" s="90">
        <v>21.81</v>
      </c>
      <c r="L32" s="90">
        <v>22.36</v>
      </c>
      <c r="M32" s="90">
        <v>22.3</v>
      </c>
      <c r="N32" s="90">
        <v>23.81</v>
      </c>
      <c r="O32" s="90">
        <v>23.42</v>
      </c>
      <c r="P32" s="90">
        <v>22.11</v>
      </c>
    </row>
    <row r="33" spans="1:16">
      <c r="A33" s="91">
        <v>42612</v>
      </c>
      <c r="B33" s="90">
        <v>22.62</v>
      </c>
      <c r="C33" s="90">
        <v>23.25</v>
      </c>
      <c r="D33" s="90">
        <v>22.64</v>
      </c>
      <c r="E33" s="90">
        <v>22.22</v>
      </c>
      <c r="F33" s="90">
        <v>22.51</v>
      </c>
      <c r="G33" s="90">
        <v>21.12</v>
      </c>
      <c r="H33" s="90">
        <v>22.42</v>
      </c>
      <c r="I33" s="90">
        <v>22.13</v>
      </c>
      <c r="J33" s="90">
        <v>23.32</v>
      </c>
      <c r="K33" s="90">
        <v>22.13</v>
      </c>
      <c r="L33" s="90">
        <v>22.12</v>
      </c>
      <c r="M33" s="90">
        <v>22.42</v>
      </c>
      <c r="N33" s="90">
        <v>22.13</v>
      </c>
      <c r="O33" s="90">
        <v>23.32</v>
      </c>
      <c r="P33" s="90">
        <v>23.83</v>
      </c>
    </row>
    <row r="34" spans="1:16">
      <c r="A34" s="91">
        <v>42619</v>
      </c>
      <c r="B34" s="90">
        <v>24.82</v>
      </c>
      <c r="C34" s="90">
        <v>23.1</v>
      </c>
      <c r="D34" s="90">
        <v>22.65</v>
      </c>
      <c r="E34" s="90">
        <v>21.16</v>
      </c>
      <c r="F34" s="90">
        <v>22.68</v>
      </c>
      <c r="G34" s="90">
        <v>23.63</v>
      </c>
      <c r="H34" s="90">
        <v>24.54</v>
      </c>
      <c r="I34" s="90">
        <v>22.12</v>
      </c>
      <c r="J34" s="90">
        <v>21.57</v>
      </c>
      <c r="K34" s="90">
        <v>22.12</v>
      </c>
      <c r="L34" s="90">
        <v>23.63</v>
      </c>
      <c r="M34" s="90">
        <v>24.54</v>
      </c>
      <c r="N34" s="90">
        <v>22.12</v>
      </c>
      <c r="O34" s="90">
        <v>21.57</v>
      </c>
      <c r="P34" s="90">
        <v>24.12</v>
      </c>
    </row>
    <row r="35" spans="1:16">
      <c r="A35" s="91">
        <v>42626</v>
      </c>
      <c r="B35" s="90">
        <v>22.12</v>
      </c>
      <c r="C35" s="90">
        <v>21.24</v>
      </c>
      <c r="D35" s="90">
        <v>24.34</v>
      </c>
      <c r="E35" s="90">
        <v>23.11</v>
      </c>
      <c r="F35" s="90">
        <v>23.1</v>
      </c>
      <c r="G35" s="90">
        <v>24.22</v>
      </c>
      <c r="H35" s="90">
        <v>23.83</v>
      </c>
      <c r="I35" s="90">
        <v>21.65</v>
      </c>
      <c r="J35" s="90">
        <v>20.11</v>
      </c>
      <c r="K35" s="90">
        <v>21.65</v>
      </c>
      <c r="L35" s="90">
        <v>24.22</v>
      </c>
      <c r="M35" s="90">
        <v>23.83</v>
      </c>
      <c r="N35" s="90">
        <v>21.65</v>
      </c>
      <c r="O35" s="90">
        <v>20.11</v>
      </c>
      <c r="P35" s="90">
        <v>21.65</v>
      </c>
    </row>
    <row r="36" spans="1:16">
      <c r="A36" s="91">
        <v>42633</v>
      </c>
      <c r="B36" s="90">
        <v>23.44</v>
      </c>
      <c r="C36" s="90">
        <v>23.35</v>
      </c>
      <c r="D36" s="90">
        <v>24.8</v>
      </c>
      <c r="E36" s="90">
        <v>23.48</v>
      </c>
      <c r="F36" s="90">
        <v>21.24</v>
      </c>
      <c r="G36" s="90">
        <v>24.34</v>
      </c>
      <c r="H36" s="90">
        <v>23.35</v>
      </c>
      <c r="I36" s="90">
        <v>23.43</v>
      </c>
      <c r="J36" s="90">
        <v>23.21</v>
      </c>
      <c r="K36" s="90">
        <v>23.43</v>
      </c>
      <c r="L36" s="90">
        <v>24.34</v>
      </c>
      <c r="M36" s="90">
        <v>25.35</v>
      </c>
      <c r="N36" s="90">
        <v>23.43</v>
      </c>
      <c r="O36" s="90">
        <v>24.21</v>
      </c>
      <c r="P36" s="90">
        <v>25.43</v>
      </c>
    </row>
    <row r="37" spans="1:16">
      <c r="A37" s="91">
        <v>42640</v>
      </c>
      <c r="B37" s="90">
        <v>25.84</v>
      </c>
      <c r="C37" s="90">
        <v>23.62</v>
      </c>
      <c r="D37" s="90">
        <v>21.31</v>
      </c>
      <c r="E37" s="90">
        <v>23.51</v>
      </c>
      <c r="F37" s="90">
        <v>23.35</v>
      </c>
      <c r="G37" s="90">
        <v>24.210999999999999</v>
      </c>
      <c r="H37" s="90">
        <v>21.13</v>
      </c>
      <c r="I37" s="90">
        <v>23.03</v>
      </c>
      <c r="J37" s="90">
        <v>23.47</v>
      </c>
      <c r="K37" s="90">
        <v>23.03</v>
      </c>
      <c r="L37" s="90">
        <v>24.210999999999999</v>
      </c>
      <c r="M37" s="90">
        <v>21.13</v>
      </c>
      <c r="N37" s="90">
        <v>23.03</v>
      </c>
      <c r="O37" s="90">
        <v>23.47</v>
      </c>
      <c r="P37" s="90">
        <v>25.03</v>
      </c>
    </row>
    <row r="38" spans="1:16">
      <c r="A38" s="91">
        <v>42647</v>
      </c>
      <c r="B38" s="90">
        <v>21.36</v>
      </c>
      <c r="C38" s="90">
        <v>22.3</v>
      </c>
      <c r="D38" s="90">
        <v>22.81</v>
      </c>
      <c r="E38" s="90">
        <v>23.42</v>
      </c>
      <c r="F38" s="90">
        <v>23.62</v>
      </c>
      <c r="G38" s="90">
        <v>23.38</v>
      </c>
      <c r="H38" s="90">
        <v>21.24</v>
      </c>
      <c r="I38" s="90">
        <v>22.25</v>
      </c>
      <c r="J38" s="90">
        <v>21.11</v>
      </c>
      <c r="K38" s="90">
        <v>22.25</v>
      </c>
      <c r="L38" s="90">
        <v>21.38</v>
      </c>
      <c r="M38" s="90">
        <v>21.24</v>
      </c>
      <c r="N38" s="90">
        <v>22.25</v>
      </c>
      <c r="O38" s="90">
        <v>22.11</v>
      </c>
      <c r="P38" s="90">
        <v>22.25</v>
      </c>
    </row>
    <row r="39" spans="1:16">
      <c r="A39" s="91">
        <v>42654</v>
      </c>
      <c r="B39" s="90">
        <v>22.12</v>
      </c>
      <c r="C39" s="90">
        <v>21.42</v>
      </c>
      <c r="D39" s="90">
        <v>22.83</v>
      </c>
      <c r="E39" s="90">
        <v>22.32</v>
      </c>
      <c r="F39" s="90">
        <v>22.3</v>
      </c>
      <c r="G39" s="90">
        <v>21.26</v>
      </c>
      <c r="H39" s="90">
        <v>22.36</v>
      </c>
      <c r="I39" s="90">
        <v>21.13</v>
      </c>
      <c r="J39" s="90">
        <v>23.53</v>
      </c>
      <c r="K39" s="90">
        <v>21.13</v>
      </c>
      <c r="L39" s="90">
        <v>21.26</v>
      </c>
      <c r="M39" s="90">
        <v>22.36</v>
      </c>
      <c r="N39" s="90">
        <v>21.13</v>
      </c>
      <c r="O39" s="90">
        <v>22.53</v>
      </c>
      <c r="P39" s="90">
        <v>21.13</v>
      </c>
    </row>
    <row r="40" spans="1:16">
      <c r="A40" s="91">
        <v>42661</v>
      </c>
      <c r="B40" s="90">
        <v>23.63</v>
      </c>
      <c r="C40" s="90">
        <v>25.54</v>
      </c>
      <c r="D40" s="90">
        <v>27.12</v>
      </c>
      <c r="E40" s="90">
        <v>21.57</v>
      </c>
      <c r="F40" s="90">
        <v>23.54</v>
      </c>
      <c r="G40" s="90">
        <v>25.33</v>
      </c>
      <c r="H40" s="90">
        <v>23.26</v>
      </c>
      <c r="I40" s="90">
        <v>23.84</v>
      </c>
      <c r="J40" s="90">
        <v>23.42</v>
      </c>
      <c r="K40" s="90">
        <v>23.14</v>
      </c>
      <c r="L40" s="90">
        <v>25.33</v>
      </c>
      <c r="M40" s="90">
        <v>23.26</v>
      </c>
      <c r="N40" s="90">
        <v>23.84</v>
      </c>
      <c r="O40" s="90">
        <v>23.42</v>
      </c>
      <c r="P40" s="90">
        <v>23.14</v>
      </c>
    </row>
    <row r="41" spans="1:16">
      <c r="A41" s="91">
        <v>42668</v>
      </c>
      <c r="B41" s="90">
        <v>24.22</v>
      </c>
      <c r="C41" s="90">
        <v>24.13</v>
      </c>
      <c r="D41" s="90">
        <v>21.65</v>
      </c>
      <c r="E41" s="90">
        <v>20.11</v>
      </c>
      <c r="F41" s="90">
        <v>22.54</v>
      </c>
      <c r="G41" s="90">
        <v>24.22</v>
      </c>
      <c r="H41" s="90">
        <v>24.37</v>
      </c>
      <c r="I41" s="90">
        <v>25.01</v>
      </c>
      <c r="J41" s="90">
        <v>24.23</v>
      </c>
      <c r="K41" s="90">
        <v>25.01</v>
      </c>
      <c r="L41" s="90">
        <v>25.22</v>
      </c>
      <c r="M41" s="90">
        <v>25.37</v>
      </c>
      <c r="N41" s="90">
        <v>25.01</v>
      </c>
      <c r="O41" s="90">
        <v>25.23</v>
      </c>
      <c r="P41" s="90">
        <v>25.01</v>
      </c>
    </row>
    <row r="42" spans="1:16">
      <c r="A42" s="91">
        <v>42677</v>
      </c>
      <c r="B42" s="90">
        <v>27.91</v>
      </c>
      <c r="C42" s="90">
        <v>22.6</v>
      </c>
      <c r="D42" s="90">
        <v>25.2</v>
      </c>
      <c r="E42" s="90">
        <v>25.91</v>
      </c>
      <c r="F42" s="90">
        <v>25.42</v>
      </c>
      <c r="G42" s="90">
        <v>25.44</v>
      </c>
      <c r="H42" s="90">
        <v>25.35</v>
      </c>
      <c r="I42" s="90">
        <v>24.1</v>
      </c>
      <c r="J42" s="90">
        <v>23.41</v>
      </c>
      <c r="K42" s="90">
        <v>24.1</v>
      </c>
      <c r="L42" s="90">
        <v>22.44</v>
      </c>
      <c r="M42" s="90">
        <v>22.35</v>
      </c>
      <c r="N42" s="90">
        <v>24.1</v>
      </c>
      <c r="O42" s="90">
        <v>23.41</v>
      </c>
      <c r="P42" s="90">
        <v>22.1</v>
      </c>
    </row>
    <row r="43" spans="1:16">
      <c r="A43" s="91">
        <v>42684</v>
      </c>
      <c r="B43" s="90">
        <v>22.64</v>
      </c>
      <c r="C43" s="90">
        <v>25.11</v>
      </c>
      <c r="D43" s="90">
        <v>24.45</v>
      </c>
      <c r="E43" s="90">
        <v>24.22</v>
      </c>
      <c r="F43" s="90">
        <v>27.85</v>
      </c>
      <c r="G43" s="90">
        <v>25.84</v>
      </c>
      <c r="H43" s="90">
        <v>25.62</v>
      </c>
      <c r="I43" s="90">
        <v>25.31</v>
      </c>
      <c r="J43" s="90">
        <v>25.58</v>
      </c>
      <c r="K43" s="90">
        <v>25.31</v>
      </c>
      <c r="L43" s="90">
        <v>25.14</v>
      </c>
      <c r="M43" s="90">
        <v>25.62</v>
      </c>
      <c r="N43" s="90">
        <v>25.31</v>
      </c>
      <c r="O43" s="90">
        <v>25.51</v>
      </c>
      <c r="P43" s="90">
        <v>25.31</v>
      </c>
    </row>
    <row r="44" spans="1:16">
      <c r="A44" s="91">
        <v>42691</v>
      </c>
      <c r="B44" s="90">
        <v>25.54</v>
      </c>
      <c r="C44" s="90">
        <v>27.12</v>
      </c>
      <c r="D44" s="90">
        <v>25.56</v>
      </c>
      <c r="E44" s="90">
        <v>25.17</v>
      </c>
      <c r="F44" s="90">
        <v>25.12</v>
      </c>
      <c r="G44" s="90">
        <v>25.36</v>
      </c>
      <c r="H44" s="90">
        <v>25.3</v>
      </c>
      <c r="I44" s="90">
        <v>22.11</v>
      </c>
      <c r="J44" s="90">
        <v>22.42</v>
      </c>
      <c r="K44" s="90">
        <v>25.81</v>
      </c>
      <c r="L44" s="90">
        <v>22.36</v>
      </c>
      <c r="M44" s="90">
        <v>22.3</v>
      </c>
      <c r="N44" s="90">
        <v>23.81</v>
      </c>
      <c r="O44" s="90">
        <v>23.42</v>
      </c>
      <c r="P44" s="90">
        <v>22.11</v>
      </c>
    </row>
    <row r="45" spans="1:16">
      <c r="A45" s="91">
        <v>42699</v>
      </c>
      <c r="B45" s="90">
        <v>27.62</v>
      </c>
      <c r="C45" s="90">
        <v>25.25</v>
      </c>
      <c r="D45" s="90">
        <v>25.64</v>
      </c>
      <c r="E45" s="90">
        <v>27.22</v>
      </c>
      <c r="F45" s="90">
        <v>22.51</v>
      </c>
      <c r="G45" s="90">
        <v>24.12</v>
      </c>
      <c r="H45" s="90">
        <v>25.42</v>
      </c>
      <c r="I45" s="90">
        <v>27.13</v>
      </c>
      <c r="J45" s="90">
        <v>25.32</v>
      </c>
      <c r="K45" s="90">
        <v>27.13</v>
      </c>
      <c r="L45" s="90">
        <v>24.12</v>
      </c>
      <c r="M45" s="90">
        <v>25.42</v>
      </c>
      <c r="N45" s="90">
        <v>27.13</v>
      </c>
      <c r="O45" s="90">
        <v>25.32</v>
      </c>
      <c r="P45" s="90">
        <v>27.83</v>
      </c>
    </row>
    <row r="46" spans="1:16">
      <c r="A46" s="91">
        <v>42708</v>
      </c>
      <c r="B46" s="90">
        <v>24.82</v>
      </c>
      <c r="C46" s="90">
        <v>27.1</v>
      </c>
      <c r="D46" s="90">
        <v>25.18</v>
      </c>
      <c r="E46" s="90">
        <v>25.16</v>
      </c>
      <c r="F46" s="90">
        <v>24.68</v>
      </c>
      <c r="G46" s="90">
        <v>23.63</v>
      </c>
      <c r="H46" s="90">
        <v>25.54</v>
      </c>
      <c r="I46" s="90">
        <v>27.12</v>
      </c>
      <c r="J46" s="90">
        <v>25.57</v>
      </c>
      <c r="K46" s="90">
        <v>27.12</v>
      </c>
      <c r="L46" s="90">
        <v>23.63</v>
      </c>
      <c r="M46" s="90">
        <v>25.54</v>
      </c>
      <c r="N46" s="90">
        <v>27.12</v>
      </c>
      <c r="O46" s="90">
        <v>25.57</v>
      </c>
      <c r="P46" s="90">
        <v>27.12</v>
      </c>
    </row>
    <row r="47" spans="1:16">
      <c r="A47" s="91">
        <v>42715</v>
      </c>
      <c r="B47" s="90">
        <v>25.12</v>
      </c>
      <c r="C47" s="90">
        <v>25.24</v>
      </c>
      <c r="D47" s="90">
        <v>27.34</v>
      </c>
      <c r="E47" s="90">
        <v>25.11</v>
      </c>
      <c r="F47" s="90">
        <v>27.1</v>
      </c>
      <c r="G47" s="90">
        <v>25.22</v>
      </c>
      <c r="H47" s="90">
        <v>27.83</v>
      </c>
      <c r="I47" s="90">
        <v>27.65</v>
      </c>
      <c r="J47" s="90">
        <v>25.11</v>
      </c>
      <c r="K47" s="90">
        <v>25.65</v>
      </c>
      <c r="L47" s="90">
        <v>27.22</v>
      </c>
      <c r="M47" s="90">
        <v>27.83</v>
      </c>
      <c r="N47" s="90">
        <v>25.65</v>
      </c>
      <c r="O47" s="90">
        <v>25.11</v>
      </c>
      <c r="P47" s="90">
        <v>25.65</v>
      </c>
    </row>
    <row r="48" spans="1:16">
      <c r="A48" s="91">
        <v>42722</v>
      </c>
      <c r="B48" s="90">
        <v>25.44</v>
      </c>
      <c r="C48" s="90">
        <v>25.35</v>
      </c>
      <c r="D48" s="90">
        <v>25.8</v>
      </c>
      <c r="E48" s="90">
        <v>25.48</v>
      </c>
      <c r="F48" s="90">
        <v>25.24</v>
      </c>
      <c r="G48" s="90">
        <v>25.34</v>
      </c>
      <c r="H48" s="90">
        <v>25.35</v>
      </c>
      <c r="I48" s="90">
        <v>27.43</v>
      </c>
      <c r="J48" s="90">
        <v>27.21</v>
      </c>
      <c r="K48" s="90">
        <v>27.43</v>
      </c>
      <c r="L48" s="90">
        <v>27.34</v>
      </c>
      <c r="M48" s="90">
        <v>25.35</v>
      </c>
      <c r="N48" s="90">
        <v>27.43</v>
      </c>
      <c r="O48" s="90">
        <v>27.21</v>
      </c>
      <c r="P48" s="90">
        <v>27.43</v>
      </c>
    </row>
    <row r="49" spans="1:21">
      <c r="A49" s="91">
        <v>42729</v>
      </c>
      <c r="B49" s="90">
        <v>25.84</v>
      </c>
      <c r="C49" s="90">
        <v>27.62</v>
      </c>
      <c r="D49" s="90">
        <v>25.31</v>
      </c>
      <c r="E49" s="90">
        <v>25.51</v>
      </c>
      <c r="F49" s="90">
        <v>27.35</v>
      </c>
      <c r="G49" s="90">
        <v>27.210999999999999</v>
      </c>
      <c r="H49" s="90">
        <v>25.13</v>
      </c>
      <c r="I49" s="90">
        <v>27.03</v>
      </c>
      <c r="J49" s="90">
        <v>25.47</v>
      </c>
      <c r="K49" s="90">
        <v>25.03</v>
      </c>
      <c r="L49" s="90">
        <v>27.210999999999999</v>
      </c>
      <c r="M49" s="90">
        <v>25.13</v>
      </c>
      <c r="N49" s="90">
        <v>27.03</v>
      </c>
      <c r="O49" s="90">
        <v>25.47</v>
      </c>
      <c r="P49" s="90">
        <v>27.03</v>
      </c>
    </row>
    <row r="50" spans="1:21">
      <c r="A50" s="90" t="s">
        <v>387</v>
      </c>
      <c r="B50" s="90">
        <v>25.36</v>
      </c>
      <c r="C50" s="90">
        <v>27.3</v>
      </c>
      <c r="D50" s="90">
        <v>27.81</v>
      </c>
      <c r="E50" s="90">
        <v>25.42</v>
      </c>
      <c r="F50" s="90">
        <v>25.62</v>
      </c>
      <c r="G50" s="90">
        <v>25.38</v>
      </c>
      <c r="H50" s="90">
        <v>25.24</v>
      </c>
      <c r="I50" s="90">
        <v>27.25</v>
      </c>
      <c r="J50" s="90">
        <v>25.11</v>
      </c>
      <c r="K50" s="90">
        <v>27.25</v>
      </c>
      <c r="L50" s="90">
        <v>25.38</v>
      </c>
      <c r="M50" s="90">
        <v>25.24</v>
      </c>
      <c r="N50" s="90">
        <v>27.25</v>
      </c>
      <c r="O50" s="90">
        <v>27.11</v>
      </c>
      <c r="P50" s="90">
        <v>27.25</v>
      </c>
    </row>
    <row r="51" spans="1:21">
      <c r="A51" s="91">
        <v>42744</v>
      </c>
      <c r="B51" s="90">
        <v>27.12</v>
      </c>
      <c r="C51" s="90">
        <v>25.42</v>
      </c>
      <c r="D51" s="90">
        <v>27.83</v>
      </c>
      <c r="E51" s="90">
        <v>27.32</v>
      </c>
      <c r="F51" s="90">
        <v>27.3</v>
      </c>
      <c r="G51" s="90">
        <v>25.26</v>
      </c>
      <c r="H51" s="90">
        <v>27.36</v>
      </c>
      <c r="I51" s="90">
        <v>29.13</v>
      </c>
      <c r="J51" s="90">
        <v>25.53</v>
      </c>
      <c r="K51" s="90">
        <v>29.13</v>
      </c>
      <c r="L51" s="90">
        <v>25.26</v>
      </c>
      <c r="M51" s="90">
        <v>27.36</v>
      </c>
      <c r="N51" s="90">
        <v>29.13</v>
      </c>
      <c r="O51" s="90">
        <v>27.53</v>
      </c>
      <c r="P51" s="90">
        <v>29.13</v>
      </c>
    </row>
    <row r="52" spans="1:21">
      <c r="A52" s="91">
        <v>42751</v>
      </c>
      <c r="B52" s="90">
        <v>25.63</v>
      </c>
      <c r="C52" s="90">
        <v>29.54</v>
      </c>
      <c r="D52" s="90">
        <v>27.12</v>
      </c>
      <c r="E52" s="90">
        <v>29.57</v>
      </c>
      <c r="F52" s="90">
        <v>29.54</v>
      </c>
      <c r="G52" s="90">
        <v>29.33</v>
      </c>
      <c r="H52" s="90">
        <v>25.26</v>
      </c>
      <c r="I52" s="90">
        <v>25.84</v>
      </c>
      <c r="J52" s="90">
        <v>25.42</v>
      </c>
      <c r="K52" s="90">
        <v>25.14</v>
      </c>
      <c r="L52" s="90">
        <v>29.33</v>
      </c>
      <c r="M52" s="90">
        <v>25.26</v>
      </c>
      <c r="N52" s="90">
        <v>29.84</v>
      </c>
      <c r="O52" s="90">
        <v>25.42</v>
      </c>
      <c r="P52" s="90">
        <v>29.14</v>
      </c>
    </row>
    <row r="53" spans="1:21">
      <c r="A53" s="91">
        <v>42758</v>
      </c>
      <c r="B53" s="90">
        <v>25.22</v>
      </c>
      <c r="C53" s="90">
        <v>29.13</v>
      </c>
      <c r="D53" s="90">
        <v>25.65</v>
      </c>
      <c r="E53" s="90">
        <v>29.11</v>
      </c>
      <c r="F53" s="90">
        <v>29.54</v>
      </c>
      <c r="G53" s="90">
        <v>25.22</v>
      </c>
      <c r="H53" s="90">
        <v>25.37</v>
      </c>
      <c r="I53" s="90">
        <v>25.01</v>
      </c>
      <c r="J53" s="90">
        <v>27.23</v>
      </c>
      <c r="K53" s="90">
        <v>25.01</v>
      </c>
      <c r="L53" s="90">
        <v>25.22</v>
      </c>
      <c r="M53" s="90">
        <v>29.37</v>
      </c>
      <c r="N53" s="90">
        <v>25.01</v>
      </c>
      <c r="O53" s="90">
        <v>27.23</v>
      </c>
      <c r="P53" s="90">
        <v>27.01</v>
      </c>
    </row>
    <row r="57" spans="1:21">
      <c r="T57" s="55" t="s">
        <v>388</v>
      </c>
      <c r="U57" s="55" t="s">
        <v>389</v>
      </c>
    </row>
    <row r="58" spans="1:21">
      <c r="A58" s="93">
        <v>42387</v>
      </c>
      <c r="B58" s="55">
        <f>B5/16.4857</f>
        <v>1.0257374573114881</v>
      </c>
      <c r="C58" s="55">
        <f t="shared" ref="C58:P58" si="0">C5/16.4857</f>
        <v>0.98327641531751753</v>
      </c>
      <c r="D58" s="55">
        <f t="shared" si="0"/>
        <v>0.98024348374651959</v>
      </c>
      <c r="E58" s="55">
        <f t="shared" si="0"/>
        <v>0.98570276057431583</v>
      </c>
      <c r="F58" s="55">
        <f t="shared" si="0"/>
        <v>0.98570276057431583</v>
      </c>
      <c r="G58" s="55">
        <f t="shared" si="0"/>
        <v>0.99176862371631169</v>
      </c>
      <c r="H58" s="55">
        <f t="shared" si="0"/>
        <v>0.99904765948670649</v>
      </c>
      <c r="I58" s="55">
        <f t="shared" si="0"/>
        <v>1.0002608321151056</v>
      </c>
      <c r="J58" s="55">
        <f t="shared" si="0"/>
        <v>1.0075398678855005</v>
      </c>
      <c r="K58" s="55">
        <f t="shared" si="0"/>
        <v>0.98873569214531376</v>
      </c>
      <c r="L58" s="55">
        <f t="shared" si="0"/>
        <v>0.99176862371631169</v>
      </c>
      <c r="M58" s="55">
        <f t="shared" si="0"/>
        <v>0.99904765948670649</v>
      </c>
      <c r="N58" s="55">
        <f t="shared" si="0"/>
        <v>1.0002608321151056</v>
      </c>
      <c r="O58" s="55">
        <f t="shared" si="0"/>
        <v>1.0075398678855005</v>
      </c>
      <c r="P58" s="55">
        <f t="shared" si="0"/>
        <v>0.98873569214531376</v>
      </c>
      <c r="T58" s="55">
        <f t="shared" ref="T58:T106" si="1">AVERAGE(B58:K58)</f>
        <v>0.99480155528730951</v>
      </c>
      <c r="U58" s="55">
        <f t="shared" ref="U58:U106" si="2">STDEV(B58:K58)</f>
        <v>1.3838206148171788E-2</v>
      </c>
    </row>
    <row r="59" spans="1:21">
      <c r="A59" s="93">
        <v>42393</v>
      </c>
      <c r="B59" s="55">
        <f>B6/17.6521</f>
        <v>0.96872326805309283</v>
      </c>
      <c r="C59" s="55">
        <f t="shared" ref="C59:P59" si="3">C6/17.6521</f>
        <v>0.97892035508523068</v>
      </c>
      <c r="D59" s="55">
        <f t="shared" si="3"/>
        <v>0.9760878309096368</v>
      </c>
      <c r="E59" s="55">
        <f t="shared" si="3"/>
        <v>0.97098928739356793</v>
      </c>
      <c r="F59" s="55">
        <f t="shared" si="3"/>
        <v>0.97722084057987435</v>
      </c>
      <c r="G59" s="55">
        <f t="shared" si="3"/>
        <v>0.97892035508523068</v>
      </c>
      <c r="H59" s="55">
        <f t="shared" si="3"/>
        <v>0.97948685992034934</v>
      </c>
      <c r="I59" s="55">
        <f t="shared" si="3"/>
        <v>0.97948685992034934</v>
      </c>
      <c r="J59" s="55">
        <f t="shared" si="3"/>
        <v>0.97892035508523068</v>
      </c>
      <c r="K59" s="55">
        <f t="shared" si="3"/>
        <v>0.97495482123939925</v>
      </c>
      <c r="L59" s="55">
        <f t="shared" si="3"/>
        <v>0.97892035508523068</v>
      </c>
      <c r="M59" s="55">
        <f t="shared" si="3"/>
        <v>0.97948685992034934</v>
      </c>
      <c r="N59" s="55">
        <f t="shared" si="3"/>
        <v>0.97382181156916181</v>
      </c>
      <c r="O59" s="55">
        <f t="shared" si="3"/>
        <v>0.97892035508523068</v>
      </c>
      <c r="P59" s="55">
        <f t="shared" si="3"/>
        <v>0.97495482123939925</v>
      </c>
      <c r="T59" s="55">
        <f t="shared" si="1"/>
        <v>0.97637108332719613</v>
      </c>
      <c r="U59" s="55">
        <f t="shared" si="2"/>
        <v>3.7884827013478684E-3</v>
      </c>
    </row>
    <row r="60" spans="1:21">
      <c r="A60" s="93">
        <v>42399</v>
      </c>
      <c r="B60" s="55">
        <f>B7/19.6393</f>
        <v>0.91296532972152777</v>
      </c>
      <c r="C60" s="55">
        <f t="shared" ref="C60:P60" si="4">C7/19.6393</f>
        <v>0.88292352578757904</v>
      </c>
      <c r="D60" s="55">
        <f t="shared" si="4"/>
        <v>0.96337445835645885</v>
      </c>
      <c r="E60" s="55">
        <f t="shared" si="4"/>
        <v>0.98934279735021113</v>
      </c>
      <c r="F60" s="55">
        <f t="shared" si="4"/>
        <v>0.95777344406368858</v>
      </c>
      <c r="G60" s="55">
        <f t="shared" si="4"/>
        <v>0.93740611936270646</v>
      </c>
      <c r="H60" s="55">
        <f t="shared" si="4"/>
        <v>0.93282347130498544</v>
      </c>
      <c r="I60" s="55">
        <f t="shared" si="4"/>
        <v>0.95879181029873772</v>
      </c>
      <c r="J60" s="55">
        <f t="shared" si="4"/>
        <v>0.93282347130498544</v>
      </c>
      <c r="K60" s="55">
        <f t="shared" si="4"/>
        <v>0.9333326544225099</v>
      </c>
      <c r="L60" s="55">
        <f t="shared" si="4"/>
        <v>0.93740611936270646</v>
      </c>
      <c r="M60" s="55">
        <f t="shared" si="4"/>
        <v>0.98374178305744098</v>
      </c>
      <c r="N60" s="55">
        <f t="shared" si="4"/>
        <v>0.95879181029873772</v>
      </c>
      <c r="O60" s="55">
        <f t="shared" si="4"/>
        <v>0.98374178305744098</v>
      </c>
      <c r="P60" s="55">
        <f t="shared" si="4"/>
        <v>0.9333326544225099</v>
      </c>
      <c r="T60" s="55">
        <f t="shared" si="1"/>
        <v>0.94015570819733907</v>
      </c>
      <c r="U60" s="55">
        <f t="shared" si="2"/>
        <v>2.9425321860188643E-2</v>
      </c>
    </row>
    <row r="61" spans="1:21">
      <c r="A61" s="93">
        <v>42407</v>
      </c>
      <c r="B61" s="55">
        <f>B8/21.205</f>
        <v>0.90733317613770337</v>
      </c>
      <c r="C61" s="55">
        <f t="shared" ref="C61:P61" si="5">C8/21.205</f>
        <v>0.85923131336948833</v>
      </c>
      <c r="D61" s="55">
        <f t="shared" si="5"/>
        <v>0.91346380570620145</v>
      </c>
      <c r="E61" s="55">
        <f t="shared" si="5"/>
        <v>0.95166234378684278</v>
      </c>
      <c r="F61" s="55">
        <f t="shared" si="5"/>
        <v>0.92195236972412176</v>
      </c>
      <c r="G61" s="55">
        <f t="shared" si="5"/>
        <v>0.9243103041735441</v>
      </c>
      <c r="H61" s="55">
        <f>H8/21.205</f>
        <v>0.91016269747701029</v>
      </c>
      <c r="I61" s="55">
        <f t="shared" si="5"/>
        <v>0.97382692761141243</v>
      </c>
      <c r="J61" s="55">
        <f t="shared" si="5"/>
        <v>0.95967932091487873</v>
      </c>
      <c r="K61" s="55">
        <f t="shared" si="5"/>
        <v>0.91629332704550814</v>
      </c>
      <c r="L61" s="55">
        <f t="shared" si="5"/>
        <v>0.9243103041735441</v>
      </c>
      <c r="M61" s="55">
        <f t="shared" si="5"/>
        <v>0.91016269747701029</v>
      </c>
      <c r="N61" s="55">
        <f t="shared" si="5"/>
        <v>0.97382692761141243</v>
      </c>
      <c r="O61" s="55">
        <f t="shared" si="5"/>
        <v>0.95967932091487873</v>
      </c>
      <c r="P61" s="55">
        <f t="shared" si="5"/>
        <v>0.91629332704550814</v>
      </c>
      <c r="T61" s="55">
        <f t="shared" si="1"/>
        <v>0.92379155859467121</v>
      </c>
      <c r="U61" s="55">
        <f t="shared" si="2"/>
        <v>3.2248061862500142E-2</v>
      </c>
    </row>
    <row r="62" spans="1:21">
      <c r="A62" s="93">
        <v>42421</v>
      </c>
      <c r="B62" s="55">
        <f>B9/24.24</f>
        <v>0.83828382838283833</v>
      </c>
      <c r="C62" s="55">
        <f t="shared" ref="C62:P62" si="6">C9/24.24</f>
        <v>0.83704620462046209</v>
      </c>
      <c r="D62" s="55">
        <f t="shared" si="6"/>
        <v>0.84240924092409253</v>
      </c>
      <c r="E62" s="55">
        <f t="shared" si="6"/>
        <v>0.9014026402640265</v>
      </c>
      <c r="F62" s="55">
        <f t="shared" si="6"/>
        <v>0.84488448844884501</v>
      </c>
      <c r="G62" s="55">
        <f t="shared" si="6"/>
        <v>0.84735973597359737</v>
      </c>
      <c r="H62" s="55">
        <f t="shared" si="6"/>
        <v>0.84364686468646866</v>
      </c>
      <c r="I62" s="55">
        <f t="shared" si="6"/>
        <v>0.88077557755775593</v>
      </c>
      <c r="J62" s="55">
        <f t="shared" si="6"/>
        <v>0.89356435643564358</v>
      </c>
      <c r="K62" s="55">
        <f t="shared" si="6"/>
        <v>0.85189768976897684</v>
      </c>
      <c r="L62" s="55">
        <f t="shared" si="6"/>
        <v>0.83457095709570961</v>
      </c>
      <c r="M62" s="55">
        <f t="shared" si="6"/>
        <v>0.87128712871287139</v>
      </c>
      <c r="N62" s="55">
        <f t="shared" si="6"/>
        <v>0.87541254125412538</v>
      </c>
      <c r="O62" s="55">
        <f t="shared" si="6"/>
        <v>0.87252475247524752</v>
      </c>
      <c r="P62" s="55">
        <f t="shared" si="6"/>
        <v>0.83374587458745886</v>
      </c>
      <c r="T62" s="55">
        <f t="shared" si="1"/>
        <v>0.8581270627062707</v>
      </c>
      <c r="U62" s="55">
        <f t="shared" si="2"/>
        <v>2.4190267538454938E-2</v>
      </c>
    </row>
    <row r="63" spans="1:21">
      <c r="A63" s="93">
        <v>42435</v>
      </c>
      <c r="B63" s="55">
        <f>B10/25.9157</f>
        <v>0.81456414451471493</v>
      </c>
      <c r="C63" s="55">
        <f t="shared" ref="C63:P63" si="7">C10/25.9157</f>
        <v>0.82961293733142449</v>
      </c>
      <c r="D63" s="55">
        <f t="shared" si="7"/>
        <v>0.8681995855793978</v>
      </c>
      <c r="E63" s="55">
        <f t="shared" si="7"/>
        <v>0.85315079276268824</v>
      </c>
      <c r="F63" s="55">
        <f t="shared" si="7"/>
        <v>0.84543346311309353</v>
      </c>
      <c r="G63" s="55">
        <f t="shared" si="7"/>
        <v>0.86086812241228283</v>
      </c>
      <c r="H63" s="55">
        <f t="shared" si="7"/>
        <v>0.81803694285703255</v>
      </c>
      <c r="I63" s="55">
        <f t="shared" si="7"/>
        <v>0.84736279552549232</v>
      </c>
      <c r="J63" s="55">
        <f t="shared" si="7"/>
        <v>0.88363424487858699</v>
      </c>
      <c r="K63" s="55">
        <f t="shared" si="7"/>
        <v>0.85893878999988427</v>
      </c>
      <c r="L63" s="55">
        <f t="shared" si="7"/>
        <v>0.82228147416430963</v>
      </c>
      <c r="M63" s="55">
        <f t="shared" si="7"/>
        <v>0.85662359110500574</v>
      </c>
      <c r="N63" s="55">
        <f t="shared" si="7"/>
        <v>0.84736279552549232</v>
      </c>
      <c r="O63" s="55">
        <f t="shared" si="7"/>
        <v>0.88363424487858699</v>
      </c>
      <c r="P63" s="55">
        <f t="shared" si="7"/>
        <v>0.85893878999988427</v>
      </c>
      <c r="T63" s="55">
        <f t="shared" si="1"/>
        <v>0.84798018189745983</v>
      </c>
      <c r="U63" s="55">
        <f t="shared" si="2"/>
        <v>2.1985888265318859E-2</v>
      </c>
    </row>
    <row r="64" spans="1:21">
      <c r="A64" s="93">
        <v>42449</v>
      </c>
      <c r="B64" s="55">
        <f>B11/27.1679</f>
        <v>0.86904030123785792</v>
      </c>
      <c r="C64" s="55">
        <f t="shared" ref="C64:P64" si="8">C11/27.1679</f>
        <v>0.82891942328998558</v>
      </c>
      <c r="D64" s="55">
        <f t="shared" si="8"/>
        <v>0.82118971285966158</v>
      </c>
      <c r="E64" s="55">
        <f t="shared" si="8"/>
        <v>0.869408382686921</v>
      </c>
      <c r="F64" s="55">
        <f t="shared" si="8"/>
        <v>0.87971466326068626</v>
      </c>
      <c r="G64" s="55">
        <f t="shared" si="8"/>
        <v>0.85799785776596638</v>
      </c>
      <c r="H64" s="55">
        <f t="shared" si="8"/>
        <v>0.85100431023376855</v>
      </c>
      <c r="I64" s="55">
        <f t="shared" si="8"/>
        <v>0.86499140529816443</v>
      </c>
      <c r="J64" s="55">
        <f t="shared" si="8"/>
        <v>0.85799785776596638</v>
      </c>
      <c r="K64" s="55">
        <f t="shared" si="8"/>
        <v>0.81787697981809415</v>
      </c>
      <c r="L64" s="55">
        <f t="shared" si="8"/>
        <v>0.82118971285966158</v>
      </c>
      <c r="M64" s="55">
        <f t="shared" si="8"/>
        <v>0.81419616532746375</v>
      </c>
      <c r="N64" s="55">
        <f t="shared" si="8"/>
        <v>0.8635190795019122</v>
      </c>
      <c r="O64" s="55">
        <f t="shared" si="8"/>
        <v>0.85799785776596638</v>
      </c>
      <c r="P64" s="55">
        <f t="shared" si="8"/>
        <v>0.85468512472439895</v>
      </c>
      <c r="T64" s="55">
        <f t="shared" si="1"/>
        <v>0.85181408942170711</v>
      </c>
      <c r="U64" s="55">
        <f t="shared" si="2"/>
        <v>2.1728794292976132E-2</v>
      </c>
    </row>
    <row r="65" spans="1:21">
      <c r="A65" s="93">
        <v>42465</v>
      </c>
      <c r="B65" s="55">
        <f t="shared" ref="B65:P65" si="9">B12/27.3071</f>
        <v>0.8408069696159608</v>
      </c>
      <c r="C65" s="55">
        <f t="shared" si="9"/>
        <v>0.83897594398526398</v>
      </c>
      <c r="D65" s="55">
        <f t="shared" si="9"/>
        <v>0.87376543096850268</v>
      </c>
      <c r="E65" s="55">
        <f t="shared" si="9"/>
        <v>0.73973435480149852</v>
      </c>
      <c r="F65" s="55">
        <f t="shared" si="9"/>
        <v>0.82542635431810774</v>
      </c>
      <c r="G65" s="55">
        <f t="shared" si="9"/>
        <v>0.86058204642748592</v>
      </c>
      <c r="H65" s="55">
        <f t="shared" si="9"/>
        <v>0.80931332876797624</v>
      </c>
      <c r="I65" s="55">
        <f t="shared" si="9"/>
        <v>0.84776486701260845</v>
      </c>
      <c r="J65" s="55">
        <f t="shared" si="9"/>
        <v>0.83494768759773108</v>
      </c>
      <c r="K65" s="55">
        <f t="shared" si="9"/>
        <v>0.85325794390469889</v>
      </c>
      <c r="L65" s="55">
        <f t="shared" si="9"/>
        <v>0.86058204642748592</v>
      </c>
      <c r="M65" s="55">
        <f t="shared" si="9"/>
        <v>0.80931332876797624</v>
      </c>
      <c r="N65" s="55">
        <f t="shared" si="9"/>
        <v>0.86168066180590408</v>
      </c>
      <c r="O65" s="55">
        <f t="shared" si="9"/>
        <v>0.83494768759773108</v>
      </c>
      <c r="P65" s="55">
        <f t="shared" si="9"/>
        <v>0.85325794390469889</v>
      </c>
      <c r="T65" s="55">
        <f t="shared" si="1"/>
        <v>0.83245749273998337</v>
      </c>
      <c r="U65" s="55">
        <f t="shared" si="2"/>
        <v>3.7216163364844984E-2</v>
      </c>
    </row>
    <row r="66" spans="1:21">
      <c r="A66" s="93">
        <v>42472</v>
      </c>
      <c r="B66" s="55">
        <f>B13/27.9229</f>
        <v>0.79182319887977259</v>
      </c>
      <c r="C66" s="55">
        <f t="shared" ref="C66:J66" si="10">C13/27.9229</f>
        <v>0.82262229209716753</v>
      </c>
      <c r="D66" s="55">
        <f t="shared" si="10"/>
        <v>0.83372429081506583</v>
      </c>
      <c r="E66" s="55">
        <f t="shared" si="10"/>
        <v>0.75959158969877782</v>
      </c>
      <c r="F66" s="55">
        <f t="shared" si="10"/>
        <v>0.85628641724176224</v>
      </c>
      <c r="G66" s="55">
        <f t="shared" si="10"/>
        <v>0.79898577869777132</v>
      </c>
      <c r="H66" s="55">
        <f t="shared" si="10"/>
        <v>0.80399958457037057</v>
      </c>
      <c r="I66" s="55">
        <f t="shared" si="10"/>
        <v>0.83193364586056617</v>
      </c>
      <c r="J66" s="55">
        <f t="shared" si="10"/>
        <v>0.80901339044296983</v>
      </c>
      <c r="K66" s="55">
        <f>K13/27.9229</f>
        <v>0.73595507629938162</v>
      </c>
      <c r="L66" s="55">
        <f t="shared" ref="L66:P66" si="11">L13/27.9229</f>
        <v>0.83479867778776562</v>
      </c>
      <c r="M66" s="55">
        <f t="shared" si="11"/>
        <v>0.83981248366036476</v>
      </c>
      <c r="N66" s="55">
        <f t="shared" si="11"/>
        <v>0.8469750634783636</v>
      </c>
      <c r="O66" s="55">
        <f t="shared" si="11"/>
        <v>0.84482628953296401</v>
      </c>
      <c r="P66" s="55">
        <f t="shared" si="11"/>
        <v>0.73595507629938162</v>
      </c>
      <c r="T66" s="55">
        <f t="shared" si="1"/>
        <v>0.80439352646036044</v>
      </c>
      <c r="U66" s="55">
        <f t="shared" si="2"/>
        <v>3.5813873983422471E-2</v>
      </c>
    </row>
    <row r="67" spans="1:21">
      <c r="A67" s="93">
        <v>42477</v>
      </c>
      <c r="B67" s="55">
        <f t="shared" ref="B67:P67" si="12">B14/25.2471</f>
        <v>0.83296695462053072</v>
      </c>
      <c r="C67" s="55">
        <f t="shared" si="12"/>
        <v>0.82821393348146921</v>
      </c>
      <c r="D67" s="55">
        <f t="shared" si="12"/>
        <v>0.83336303971545245</v>
      </c>
      <c r="E67" s="55">
        <f t="shared" si="12"/>
        <v>0.82742176329162564</v>
      </c>
      <c r="F67" s="55">
        <f t="shared" si="12"/>
        <v>0.90743095246582772</v>
      </c>
      <c r="G67" s="55">
        <f t="shared" si="12"/>
        <v>0.82861001857639105</v>
      </c>
      <c r="H67" s="55">
        <f t="shared" si="12"/>
        <v>0.82821393348146921</v>
      </c>
      <c r="I67" s="55">
        <f t="shared" si="12"/>
        <v>0.79929972155217832</v>
      </c>
      <c r="J67" s="55">
        <f t="shared" si="12"/>
        <v>0.83217478443068715</v>
      </c>
      <c r="K67" s="55">
        <f t="shared" si="12"/>
        <v>0.79652712588772567</v>
      </c>
      <c r="L67" s="55">
        <f t="shared" si="12"/>
        <v>0.86821852806857036</v>
      </c>
      <c r="M67" s="55">
        <f t="shared" si="12"/>
        <v>0.82821393348146921</v>
      </c>
      <c r="N67" s="55">
        <f t="shared" si="12"/>
        <v>0.85158295408185491</v>
      </c>
      <c r="O67" s="55">
        <f t="shared" si="12"/>
        <v>0.79256627493850784</v>
      </c>
      <c r="P67" s="55">
        <f t="shared" si="12"/>
        <v>0.79652712588772567</v>
      </c>
      <c r="T67" s="55">
        <f t="shared" si="1"/>
        <v>0.83142222275033573</v>
      </c>
      <c r="U67" s="55">
        <f t="shared" si="2"/>
        <v>2.9959356886783719E-2</v>
      </c>
    </row>
    <row r="68" spans="1:21">
      <c r="A68" s="93">
        <v>42484</v>
      </c>
      <c r="B68" s="55">
        <f>B15/29.4862</f>
        <v>0.78104333552644967</v>
      </c>
      <c r="C68" s="55">
        <f t="shared" ref="C68:P68" si="13">C15/29.4862</f>
        <v>0.84480197516126188</v>
      </c>
      <c r="D68" s="55">
        <f t="shared" si="13"/>
        <v>0.81529664724515194</v>
      </c>
      <c r="E68" s="55">
        <f t="shared" si="13"/>
        <v>0.70846701168682302</v>
      </c>
      <c r="F68" s="55">
        <f t="shared" si="13"/>
        <v>0.84480197516126188</v>
      </c>
      <c r="G68" s="55">
        <f t="shared" si="13"/>
        <v>0.81122694684292995</v>
      </c>
      <c r="H68" s="55">
        <f t="shared" si="13"/>
        <v>0.84480197516126188</v>
      </c>
      <c r="I68" s="55">
        <f t="shared" si="13"/>
        <v>0.68879679307608299</v>
      </c>
      <c r="J68" s="55">
        <f t="shared" si="13"/>
        <v>0.81427922214459647</v>
      </c>
      <c r="K68" s="55">
        <f t="shared" si="13"/>
        <v>0.68201395907237961</v>
      </c>
      <c r="L68" s="55">
        <f t="shared" si="13"/>
        <v>0.84514111686144711</v>
      </c>
      <c r="M68" s="55">
        <f t="shared" si="13"/>
        <v>0.84480197516126188</v>
      </c>
      <c r="N68" s="55">
        <f t="shared" si="13"/>
        <v>0.81902720594718881</v>
      </c>
      <c r="O68" s="55">
        <f t="shared" si="13"/>
        <v>0.81427922214459647</v>
      </c>
      <c r="P68" s="55">
        <f t="shared" si="13"/>
        <v>0.68201395907237961</v>
      </c>
      <c r="T68" s="55">
        <f t="shared" si="1"/>
        <v>0.78355298410781993</v>
      </c>
      <c r="U68" s="55">
        <f t="shared" si="2"/>
        <v>6.5747866645851999E-2</v>
      </c>
    </row>
    <row r="69" spans="1:21">
      <c r="A69" s="93">
        <v>42491</v>
      </c>
      <c r="B69" s="55">
        <f>B16/29.1015</f>
        <v>0.93912684913148792</v>
      </c>
      <c r="C69" s="55">
        <f t="shared" ref="C69:P69" si="14">C16/29.1015</f>
        <v>0.76662714980327462</v>
      </c>
      <c r="D69" s="55">
        <f t="shared" si="14"/>
        <v>0.82366888304726549</v>
      </c>
      <c r="E69" s="55">
        <f t="shared" si="14"/>
        <v>0.80098963970929327</v>
      </c>
      <c r="F69" s="55">
        <f t="shared" si="14"/>
        <v>0.70133841898183935</v>
      </c>
      <c r="G69" s="55">
        <f t="shared" si="14"/>
        <v>0.80545676339707573</v>
      </c>
      <c r="H69" s="55">
        <f t="shared" si="14"/>
        <v>0.82847963163410809</v>
      </c>
      <c r="I69" s="55">
        <f t="shared" si="14"/>
        <v>0.69343504630345509</v>
      </c>
      <c r="J69" s="55">
        <f t="shared" si="14"/>
        <v>0.73329553459443664</v>
      </c>
      <c r="K69" s="55">
        <f t="shared" si="14"/>
        <v>0.70511829287150141</v>
      </c>
      <c r="L69" s="55">
        <f t="shared" si="14"/>
        <v>0.80545676339707573</v>
      </c>
      <c r="M69" s="55">
        <f t="shared" si="14"/>
        <v>0.82847963163410809</v>
      </c>
      <c r="N69" s="55">
        <f t="shared" si="14"/>
        <v>0.86696562032884905</v>
      </c>
      <c r="O69" s="55">
        <f t="shared" si="14"/>
        <v>0.73329553459443664</v>
      </c>
      <c r="P69" s="55">
        <f t="shared" si="14"/>
        <v>0.70511829287150141</v>
      </c>
      <c r="T69" s="55">
        <f t="shared" si="1"/>
        <v>0.77975362094737366</v>
      </c>
      <c r="U69" s="55">
        <f t="shared" si="2"/>
        <v>7.6241684942860904E-2</v>
      </c>
    </row>
    <row r="70" spans="1:21">
      <c r="A70" s="93">
        <v>42498</v>
      </c>
      <c r="B70" s="55">
        <f>B17/30.1638</f>
        <v>0.81090578773231492</v>
      </c>
      <c r="C70" s="55">
        <f t="shared" ref="C70:P70" si="15">C17/30.1638</f>
        <v>0.77642737320894595</v>
      </c>
      <c r="D70" s="55">
        <f t="shared" si="15"/>
        <v>0.82648737891114521</v>
      </c>
      <c r="E70" s="55">
        <f t="shared" si="15"/>
        <v>0.74029134260272245</v>
      </c>
      <c r="F70" s="55">
        <f t="shared" si="15"/>
        <v>0.76648167671182021</v>
      </c>
      <c r="G70" s="55">
        <f t="shared" si="15"/>
        <v>0.67431822250512208</v>
      </c>
      <c r="H70" s="55">
        <f t="shared" si="15"/>
        <v>0.77775346607522933</v>
      </c>
      <c r="I70" s="55">
        <f t="shared" si="15"/>
        <v>0.77344366425980815</v>
      </c>
      <c r="J70" s="55">
        <f t="shared" si="15"/>
        <v>0.74062286581929337</v>
      </c>
      <c r="K70" s="55">
        <f t="shared" si="15"/>
        <v>0.77244909461009559</v>
      </c>
      <c r="L70" s="55">
        <f t="shared" si="15"/>
        <v>0.67431822250512208</v>
      </c>
      <c r="M70" s="55">
        <f t="shared" si="15"/>
        <v>0.71144882276105803</v>
      </c>
      <c r="N70" s="55">
        <f t="shared" si="15"/>
        <v>0.70216617269707404</v>
      </c>
      <c r="O70" s="55">
        <f t="shared" si="15"/>
        <v>0.73432392470444707</v>
      </c>
      <c r="P70" s="55">
        <f t="shared" si="15"/>
        <v>0.73929677295301</v>
      </c>
      <c r="T70" s="55">
        <f t="shared" si="1"/>
        <v>0.76591808724364985</v>
      </c>
      <c r="U70" s="55">
        <f t="shared" si="2"/>
        <v>4.1806130676941743E-2</v>
      </c>
    </row>
    <row r="71" spans="1:21">
      <c r="A71" s="93">
        <v>42505</v>
      </c>
      <c r="B71" s="55">
        <f>B18/30.8354</f>
        <v>0.73065372915545124</v>
      </c>
      <c r="C71" s="55">
        <f t="shared" ref="C71:P71" si="16">C18/30.8354</f>
        <v>0.71995174377501181</v>
      </c>
      <c r="D71" s="55">
        <f t="shared" si="16"/>
        <v>0.73454536020288363</v>
      </c>
      <c r="E71" s="55">
        <f t="shared" si="16"/>
        <v>0.77248876291535051</v>
      </c>
      <c r="F71" s="55">
        <f t="shared" si="16"/>
        <v>0.72319476964787233</v>
      </c>
      <c r="G71" s="55">
        <f t="shared" si="16"/>
        <v>0.72351907223515821</v>
      </c>
      <c r="H71" s="55">
        <f t="shared" si="16"/>
        <v>0.7630839878840554</v>
      </c>
      <c r="I71" s="55">
        <f t="shared" si="16"/>
        <v>0.7669756189314878</v>
      </c>
      <c r="J71" s="55">
        <f t="shared" si="16"/>
        <v>0.73940989901217435</v>
      </c>
      <c r="K71" s="55">
        <f t="shared" si="16"/>
        <v>0.76048956718576699</v>
      </c>
      <c r="L71" s="55">
        <f t="shared" si="16"/>
        <v>0.72351907223515821</v>
      </c>
      <c r="M71" s="55">
        <f t="shared" si="16"/>
        <v>0.7630839878840554</v>
      </c>
      <c r="N71" s="55">
        <f t="shared" si="16"/>
        <v>0.65865855477794999</v>
      </c>
      <c r="O71" s="55">
        <f t="shared" si="16"/>
        <v>0.72124895412415591</v>
      </c>
      <c r="P71" s="55">
        <f t="shared" si="16"/>
        <v>0.72805930845716282</v>
      </c>
      <c r="T71" s="55">
        <f t="shared" si="1"/>
        <v>0.74343125109452113</v>
      </c>
      <c r="U71" s="55">
        <f t="shared" si="2"/>
        <v>2.0252805484382231E-2</v>
      </c>
    </row>
    <row r="72" spans="1:21">
      <c r="A72" s="93">
        <v>42512</v>
      </c>
      <c r="B72" s="55">
        <f>B19/31.5292</f>
        <v>0.86205802874795423</v>
      </c>
      <c r="C72" s="55">
        <f t="shared" ref="C72:P72" si="17">C19/31.5292</f>
        <v>0.79640460271748093</v>
      </c>
      <c r="D72" s="55">
        <f t="shared" si="17"/>
        <v>0.7104525328901462</v>
      </c>
      <c r="E72" s="55">
        <f t="shared" si="17"/>
        <v>0.80147926366669631</v>
      </c>
      <c r="F72" s="55">
        <f t="shared" si="17"/>
        <v>0.86427819291323604</v>
      </c>
      <c r="G72" s="55">
        <f t="shared" si="17"/>
        <v>0.66953807898709772</v>
      </c>
      <c r="H72" s="55">
        <f t="shared" si="17"/>
        <v>0.85983786458267253</v>
      </c>
      <c r="I72" s="55">
        <f t="shared" si="17"/>
        <v>0.70252337515699725</v>
      </c>
      <c r="J72" s="55">
        <f t="shared" si="17"/>
        <v>0.67588140517361683</v>
      </c>
      <c r="K72" s="55">
        <f t="shared" si="17"/>
        <v>0.85856919934536879</v>
      </c>
      <c r="L72" s="55">
        <f t="shared" si="17"/>
        <v>0.66953807898709772</v>
      </c>
      <c r="M72" s="55">
        <f t="shared" si="17"/>
        <v>0.85983786458267253</v>
      </c>
      <c r="N72" s="55">
        <f t="shared" si="17"/>
        <v>0.95498775738046005</v>
      </c>
      <c r="O72" s="55">
        <f t="shared" si="17"/>
        <v>0.804016594141304</v>
      </c>
      <c r="P72" s="55">
        <f t="shared" si="17"/>
        <v>0.85856919934536879</v>
      </c>
      <c r="T72" s="55">
        <f t="shared" si="1"/>
        <v>0.78010225441812675</v>
      </c>
      <c r="U72" s="55">
        <f t="shared" si="2"/>
        <v>8.2324492203364588E-2</v>
      </c>
    </row>
    <row r="73" spans="1:21">
      <c r="A73" s="93">
        <v>42519</v>
      </c>
      <c r="B73" s="55">
        <f>B20/31.96</f>
        <v>0.67271589486858574</v>
      </c>
      <c r="C73" s="55">
        <f t="shared" ref="C73:P73" si="18">C20/31.96</f>
        <v>0.79224030037546933</v>
      </c>
      <c r="D73" s="55">
        <f t="shared" si="18"/>
        <v>0.86045056320400504</v>
      </c>
      <c r="E73" s="55">
        <f t="shared" si="18"/>
        <v>0.66020025031289109</v>
      </c>
      <c r="F73" s="55">
        <f t="shared" si="18"/>
        <v>0.84824780976220271</v>
      </c>
      <c r="G73" s="55">
        <f t="shared" si="18"/>
        <v>0.69180225281602004</v>
      </c>
      <c r="H73" s="55">
        <f t="shared" si="18"/>
        <v>0.67271589486858574</v>
      </c>
      <c r="I73" s="55">
        <f t="shared" si="18"/>
        <v>0.66677096370463074</v>
      </c>
      <c r="J73" s="55">
        <f t="shared" si="18"/>
        <v>0.84824780976220271</v>
      </c>
      <c r="K73" s="55">
        <f t="shared" si="18"/>
        <v>0.86170212765957444</v>
      </c>
      <c r="L73" s="55">
        <f t="shared" si="18"/>
        <v>0.69180225281602004</v>
      </c>
      <c r="M73" s="55">
        <f t="shared" si="18"/>
        <v>0.67271589486858574</v>
      </c>
      <c r="N73" s="55">
        <f t="shared" si="18"/>
        <v>0.66739674593241549</v>
      </c>
      <c r="O73" s="55">
        <f t="shared" si="18"/>
        <v>0.80162703379224032</v>
      </c>
      <c r="P73" s="55">
        <f t="shared" si="18"/>
        <v>0.86170212765957444</v>
      </c>
      <c r="T73" s="55">
        <f t="shared" si="1"/>
        <v>0.75750938673341672</v>
      </c>
      <c r="U73" s="55">
        <f t="shared" si="2"/>
        <v>9.1606648037700925E-2</v>
      </c>
    </row>
    <row r="74" spans="1:21">
      <c r="A74" s="93">
        <v>42526</v>
      </c>
      <c r="B74" s="55">
        <f t="shared" ref="B74:P74" si="19">B21/32.3564</f>
        <v>0.83909211160697728</v>
      </c>
      <c r="C74" s="55">
        <f t="shared" si="19"/>
        <v>0.65674796948980729</v>
      </c>
      <c r="D74" s="55">
        <f t="shared" si="19"/>
        <v>0.66292912684971128</v>
      </c>
      <c r="E74" s="55">
        <f t="shared" si="19"/>
        <v>0.93644534002546642</v>
      </c>
      <c r="F74" s="55">
        <f t="shared" si="19"/>
        <v>0.66292912684971128</v>
      </c>
      <c r="G74" s="55">
        <f t="shared" si="19"/>
        <v>0.73061279994066086</v>
      </c>
      <c r="H74" s="55">
        <f t="shared" si="19"/>
        <v>0.83909211160697728</v>
      </c>
      <c r="I74" s="55">
        <f t="shared" si="19"/>
        <v>0.98620365677269406</v>
      </c>
      <c r="J74" s="55">
        <f t="shared" si="19"/>
        <v>0.83847399587098681</v>
      </c>
      <c r="K74" s="55">
        <f t="shared" si="19"/>
        <v>0.65922043243376882</v>
      </c>
      <c r="L74" s="55">
        <f t="shared" si="19"/>
        <v>0.73061279994066086</v>
      </c>
      <c r="M74" s="55">
        <f t="shared" si="19"/>
        <v>0.83909211160697728</v>
      </c>
      <c r="N74" s="55">
        <f t="shared" si="19"/>
        <v>0.70001607100913565</v>
      </c>
      <c r="O74" s="55">
        <f t="shared" si="19"/>
        <v>0.78191640602786461</v>
      </c>
      <c r="P74" s="55">
        <f t="shared" si="19"/>
        <v>0.65922043243376882</v>
      </c>
      <c r="T74" s="55">
        <f t="shared" si="1"/>
        <v>0.7811746671446762</v>
      </c>
      <c r="U74" s="55">
        <f t="shared" si="2"/>
        <v>0.12338435824284281</v>
      </c>
    </row>
    <row r="75" spans="1:21">
      <c r="A75" s="93">
        <v>42533</v>
      </c>
      <c r="B75" s="55">
        <f>B22/32.4155</f>
        <v>0.6549335965818821</v>
      </c>
      <c r="C75" s="55">
        <f t="shared" ref="C75:P75" si="20">C22/32.4155</f>
        <v>0.77863984822075849</v>
      </c>
      <c r="D75" s="55">
        <f t="shared" si="20"/>
        <v>0.65092316947139484</v>
      </c>
      <c r="E75" s="55">
        <f t="shared" si="20"/>
        <v>0.93350403356418998</v>
      </c>
      <c r="F75" s="55">
        <f t="shared" si="20"/>
        <v>0.65740155172679726</v>
      </c>
      <c r="G75" s="55">
        <f t="shared" si="20"/>
        <v>0.72928074532245379</v>
      </c>
      <c r="H75" s="55">
        <f t="shared" si="20"/>
        <v>0.6549335965818821</v>
      </c>
      <c r="I75" s="55">
        <f t="shared" si="20"/>
        <v>0.76013018463389426</v>
      </c>
      <c r="J75" s="55">
        <f t="shared" si="20"/>
        <v>0.83756227730560984</v>
      </c>
      <c r="K75" s="55">
        <f t="shared" si="20"/>
        <v>0.77555490428961449</v>
      </c>
      <c r="L75" s="55">
        <f t="shared" si="20"/>
        <v>0.72928074532245379</v>
      </c>
      <c r="M75" s="55">
        <f t="shared" si="20"/>
        <v>0.6549335965818821</v>
      </c>
      <c r="N75" s="55">
        <f t="shared" si="20"/>
        <v>0.6833150807484073</v>
      </c>
      <c r="O75" s="55">
        <f t="shared" si="20"/>
        <v>0.78419274729681787</v>
      </c>
      <c r="P75" s="55">
        <f t="shared" si="20"/>
        <v>0.77555490428961449</v>
      </c>
      <c r="T75" s="55">
        <f t="shared" si="1"/>
        <v>0.7432863907698477</v>
      </c>
      <c r="U75" s="55">
        <f t="shared" si="2"/>
        <v>9.3903787957379262E-2</v>
      </c>
    </row>
    <row r="76" spans="1:21">
      <c r="A76" s="93">
        <v>42540</v>
      </c>
      <c r="B76" s="55">
        <f>B23/33.1782</f>
        <v>0.63626115943601524</v>
      </c>
      <c r="C76" s="55">
        <f t="shared" ref="C76:P76" si="21">C23/33.1782</f>
        <v>0.75652084802671649</v>
      </c>
      <c r="D76" s="55">
        <f t="shared" si="21"/>
        <v>0.63746677034920518</v>
      </c>
      <c r="E76" s="55">
        <f t="shared" si="21"/>
        <v>0.6700182650053349</v>
      </c>
      <c r="F76" s="55">
        <f t="shared" si="21"/>
        <v>0.67273088956001237</v>
      </c>
      <c r="G76" s="55">
        <f t="shared" si="21"/>
        <v>0.76646713806053379</v>
      </c>
      <c r="H76" s="55">
        <f t="shared" si="21"/>
        <v>0.63626115943601524</v>
      </c>
      <c r="I76" s="55">
        <f t="shared" si="21"/>
        <v>0.76978256807180623</v>
      </c>
      <c r="J76" s="55">
        <f t="shared" si="21"/>
        <v>0.7336142406761067</v>
      </c>
      <c r="K76" s="55">
        <f t="shared" si="21"/>
        <v>0.76405591623415392</v>
      </c>
      <c r="L76" s="55">
        <f t="shared" si="21"/>
        <v>0.76646713806053379</v>
      </c>
      <c r="M76" s="55">
        <f t="shared" si="21"/>
        <v>0.63626115943601524</v>
      </c>
      <c r="N76" s="55">
        <f t="shared" si="21"/>
        <v>0.66760704317895492</v>
      </c>
      <c r="O76" s="55">
        <f t="shared" si="21"/>
        <v>0.7336142406761067</v>
      </c>
      <c r="P76" s="55">
        <f t="shared" si="21"/>
        <v>0.76405591623415392</v>
      </c>
      <c r="T76" s="55">
        <f t="shared" si="1"/>
        <v>0.70431789548558998</v>
      </c>
      <c r="U76" s="55">
        <f t="shared" si="2"/>
        <v>5.8884936856944098E-2</v>
      </c>
    </row>
    <row r="77" spans="1:21">
      <c r="A77" s="93">
        <v>42547</v>
      </c>
      <c r="B77" s="55">
        <f>B24/33.987</f>
        <v>0.74469650160355427</v>
      </c>
      <c r="C77" s="55">
        <f t="shared" ref="C77:P77" si="22">C24/33.987</f>
        <v>0.63288904581163385</v>
      </c>
      <c r="D77" s="55">
        <f t="shared" si="22"/>
        <v>0.6508370847677053</v>
      </c>
      <c r="E77" s="55">
        <f t="shared" si="22"/>
        <v>0.65407361638273454</v>
      </c>
      <c r="F77" s="55">
        <f t="shared" si="22"/>
        <v>0.74469650160355427</v>
      </c>
      <c r="G77" s="55">
        <f t="shared" si="22"/>
        <v>0.62406214140700855</v>
      </c>
      <c r="H77" s="55">
        <f t="shared" si="22"/>
        <v>0.65642745755730125</v>
      </c>
      <c r="I77" s="55">
        <f t="shared" si="22"/>
        <v>0.75381763615500041</v>
      </c>
      <c r="J77" s="55">
        <f t="shared" si="22"/>
        <v>0.71236060846794358</v>
      </c>
      <c r="K77" s="55">
        <f t="shared" si="22"/>
        <v>0.62170830023244172</v>
      </c>
      <c r="L77" s="55">
        <f t="shared" si="22"/>
        <v>0.62406214140700855</v>
      </c>
      <c r="M77" s="55">
        <f t="shared" si="22"/>
        <v>0.62700444287521695</v>
      </c>
      <c r="N77" s="55">
        <f t="shared" si="22"/>
        <v>0.62494483184747096</v>
      </c>
      <c r="O77" s="55">
        <f t="shared" si="22"/>
        <v>0.68293759378585916</v>
      </c>
      <c r="P77" s="55">
        <f t="shared" si="22"/>
        <v>0.62170830023244172</v>
      </c>
      <c r="T77" s="55">
        <f t="shared" si="1"/>
        <v>0.67955688939888781</v>
      </c>
      <c r="U77" s="55">
        <f t="shared" si="2"/>
        <v>5.3427302214404941E-2</v>
      </c>
    </row>
    <row r="78" spans="1:21">
      <c r="A78" s="93">
        <v>42555</v>
      </c>
      <c r="B78" s="55">
        <f>B25/37.001</f>
        <v>0.81376179022188588</v>
      </c>
      <c r="C78" s="55">
        <f t="shared" ref="C78:P78" si="23">C25/37.001</f>
        <v>0.60944298802735064</v>
      </c>
      <c r="D78" s="55">
        <f t="shared" si="23"/>
        <v>0.597551417529256</v>
      </c>
      <c r="E78" s="55">
        <f t="shared" si="23"/>
        <v>0.5713359098402746</v>
      </c>
      <c r="F78" s="55">
        <f t="shared" si="23"/>
        <v>0.57566011729412725</v>
      </c>
      <c r="G78" s="55">
        <f t="shared" si="23"/>
        <v>0.72998027080349193</v>
      </c>
      <c r="H78" s="55">
        <f t="shared" si="23"/>
        <v>0.81376179022188588</v>
      </c>
      <c r="I78" s="55">
        <f t="shared" si="23"/>
        <v>0.65187427366827932</v>
      </c>
      <c r="J78" s="55">
        <f t="shared" si="23"/>
        <v>0.62998297343315046</v>
      </c>
      <c r="K78" s="55">
        <f t="shared" si="23"/>
        <v>0.57403853949893247</v>
      </c>
      <c r="L78" s="55">
        <f t="shared" si="23"/>
        <v>0.72998027080349193</v>
      </c>
      <c r="M78" s="55">
        <f t="shared" si="23"/>
        <v>0.81376179022188588</v>
      </c>
      <c r="N78" s="55">
        <f t="shared" si="23"/>
        <v>0.68511661846977112</v>
      </c>
      <c r="O78" s="55">
        <f t="shared" si="23"/>
        <v>0.62998297343315046</v>
      </c>
      <c r="P78" s="55">
        <f t="shared" si="23"/>
        <v>0.59295694710953761</v>
      </c>
      <c r="T78" s="55">
        <f t="shared" si="1"/>
        <v>0.65673900705386345</v>
      </c>
      <c r="U78" s="55">
        <f t="shared" si="2"/>
        <v>9.5372410074619426E-2</v>
      </c>
    </row>
    <row r="79" spans="1:21">
      <c r="A79" s="93">
        <v>42562</v>
      </c>
      <c r="B79" s="55">
        <f>B26/35.103</f>
        <v>0.60764037261772486</v>
      </c>
      <c r="C79" s="55">
        <f t="shared" ref="C79:P79" si="24">C26/35.103</f>
        <v>0.701364555735977</v>
      </c>
      <c r="D79" s="55">
        <f t="shared" si="24"/>
        <v>0.63669771814374843</v>
      </c>
      <c r="E79" s="55">
        <f t="shared" si="24"/>
        <v>0.60593111699854707</v>
      </c>
      <c r="F79" s="55">
        <f t="shared" si="24"/>
        <v>0.60678574480813607</v>
      </c>
      <c r="G79" s="55">
        <f t="shared" si="24"/>
        <v>0.68683588297296527</v>
      </c>
      <c r="H79" s="55">
        <f t="shared" si="24"/>
        <v>0.60764037261772486</v>
      </c>
      <c r="I79" s="55">
        <f t="shared" si="24"/>
        <v>0.63014557160356666</v>
      </c>
      <c r="J79" s="55">
        <f t="shared" si="24"/>
        <v>0.6626214283679458</v>
      </c>
      <c r="K79" s="55">
        <f t="shared" si="24"/>
        <v>0.72244537503917039</v>
      </c>
      <c r="L79" s="55">
        <f t="shared" si="24"/>
        <v>0.65834828932000111</v>
      </c>
      <c r="M79" s="55">
        <f t="shared" si="24"/>
        <v>0.60764037261772486</v>
      </c>
      <c r="N79" s="55">
        <f t="shared" si="24"/>
        <v>0.72985214938894116</v>
      </c>
      <c r="O79" s="55">
        <f t="shared" si="24"/>
        <v>0.77657180297980233</v>
      </c>
      <c r="P79" s="55">
        <f t="shared" si="24"/>
        <v>0.72244537503917039</v>
      </c>
      <c r="T79" s="55">
        <f t="shared" si="1"/>
        <v>0.64681081389055062</v>
      </c>
      <c r="U79" s="55">
        <f t="shared" si="2"/>
        <v>4.3805741623678618E-2</v>
      </c>
    </row>
    <row r="80" spans="1:21">
      <c r="A80" s="93">
        <v>42569</v>
      </c>
      <c r="B80" s="55">
        <f>B27/34.84</f>
        <v>0.6501148105625717</v>
      </c>
      <c r="C80" s="55">
        <f t="shared" ref="C80:P80" si="25">C27/34.84</f>
        <v>0.63576349024110212</v>
      </c>
      <c r="D80" s="55">
        <f t="shared" si="25"/>
        <v>0.66475315729047069</v>
      </c>
      <c r="E80" s="55">
        <f t="shared" si="25"/>
        <v>0.63920780711825476</v>
      </c>
      <c r="F80" s="55">
        <f t="shared" si="25"/>
        <v>0.5774971297359357</v>
      </c>
      <c r="G80" s="55">
        <f t="shared" si="25"/>
        <v>0.63174512055109067</v>
      </c>
      <c r="H80" s="55">
        <f t="shared" si="25"/>
        <v>0.6501148105625717</v>
      </c>
      <c r="I80" s="55">
        <f t="shared" si="25"/>
        <v>0.70149253731343275</v>
      </c>
      <c r="J80" s="55">
        <f t="shared" si="25"/>
        <v>0.69833524684270942</v>
      </c>
      <c r="K80" s="55">
        <f t="shared" si="25"/>
        <v>0.6676234213547646</v>
      </c>
      <c r="L80" s="55">
        <f t="shared" si="25"/>
        <v>0.66044776119402981</v>
      </c>
      <c r="M80" s="55">
        <f t="shared" si="25"/>
        <v>0.6501148105625717</v>
      </c>
      <c r="N80" s="55">
        <f t="shared" si="25"/>
        <v>0.69747416762342129</v>
      </c>
      <c r="O80" s="55">
        <f t="shared" si="25"/>
        <v>0.72703788748564857</v>
      </c>
      <c r="P80" s="55">
        <f t="shared" si="25"/>
        <v>0.6676234213547646</v>
      </c>
      <c r="T80" s="55">
        <f t="shared" si="1"/>
        <v>0.65166475315729033</v>
      </c>
      <c r="U80" s="55">
        <f t="shared" si="2"/>
        <v>3.558618162889645E-2</v>
      </c>
    </row>
    <row r="81" spans="1:21">
      <c r="A81" s="93">
        <v>42576</v>
      </c>
      <c r="B81" s="55">
        <f>B28/35.587</f>
        <v>0.62241829881698363</v>
      </c>
      <c r="C81" s="55">
        <f t="shared" ref="C81:P81" si="26">C28/35.587</f>
        <v>0.57099502627363918</v>
      </c>
      <c r="D81" s="55">
        <f t="shared" si="26"/>
        <v>0.63337735689999153</v>
      </c>
      <c r="E81" s="55">
        <f t="shared" si="26"/>
        <v>0.62382330626352311</v>
      </c>
      <c r="F81" s="55">
        <f t="shared" si="26"/>
        <v>0.64967544327984939</v>
      </c>
      <c r="G81" s="55">
        <f t="shared" si="26"/>
        <v>0.6021861915868153</v>
      </c>
      <c r="H81" s="55">
        <f t="shared" si="26"/>
        <v>0.62241829881698363</v>
      </c>
      <c r="I81" s="55">
        <f t="shared" si="26"/>
        <v>0.62185629583836788</v>
      </c>
      <c r="J81" s="55">
        <f t="shared" si="26"/>
        <v>0.65248545817292825</v>
      </c>
      <c r="K81" s="55">
        <f t="shared" si="26"/>
        <v>0.60050018265096805</v>
      </c>
      <c r="L81" s="55">
        <f t="shared" si="26"/>
        <v>0.65838648944839395</v>
      </c>
      <c r="M81" s="55">
        <f t="shared" si="26"/>
        <v>0.62241829881698363</v>
      </c>
      <c r="N81" s="55">
        <f t="shared" si="26"/>
        <v>0.63000533902829681</v>
      </c>
      <c r="O81" s="55">
        <f t="shared" si="26"/>
        <v>0.65248545817292825</v>
      </c>
      <c r="P81" s="55">
        <f t="shared" si="26"/>
        <v>0.60050018265096805</v>
      </c>
      <c r="T81" s="55">
        <f t="shared" si="1"/>
        <v>0.61997358586000506</v>
      </c>
      <c r="U81" s="55">
        <f t="shared" si="2"/>
        <v>2.413781166374938E-2</v>
      </c>
    </row>
    <row r="82" spans="1:21">
      <c r="A82" s="93">
        <v>42584</v>
      </c>
      <c r="B82" s="55">
        <f>B29/35.426</f>
        <v>0.60153559532546708</v>
      </c>
      <c r="C82" s="55">
        <f t="shared" ref="C82:P82" si="27">C29/35.426</f>
        <v>0.65403940608592559</v>
      </c>
      <c r="D82" s="55">
        <f t="shared" si="27"/>
        <v>0.59871280980071129</v>
      </c>
      <c r="E82" s="55">
        <f t="shared" si="27"/>
        <v>0.63258623609778131</v>
      </c>
      <c r="F82" s="55">
        <f t="shared" si="27"/>
        <v>0.60294698808784508</v>
      </c>
      <c r="G82" s="55">
        <f t="shared" si="27"/>
        <v>0.62440015807598936</v>
      </c>
      <c r="H82" s="55">
        <f t="shared" si="27"/>
        <v>0.599559645458138</v>
      </c>
      <c r="I82" s="55">
        <f t="shared" si="27"/>
        <v>0.63061028623045212</v>
      </c>
      <c r="J82" s="55">
        <f t="shared" si="27"/>
        <v>0.7088014452661886</v>
      </c>
      <c r="K82" s="55">
        <f t="shared" si="27"/>
        <v>0.63061028623045212</v>
      </c>
      <c r="L82" s="55">
        <f t="shared" si="27"/>
        <v>0.62440015807598936</v>
      </c>
      <c r="M82" s="55">
        <f t="shared" si="27"/>
        <v>0.599559645458138</v>
      </c>
      <c r="N82" s="55">
        <f t="shared" si="27"/>
        <v>0.63061028623045212</v>
      </c>
      <c r="O82" s="55">
        <f t="shared" si="27"/>
        <v>0.7088014452661886</v>
      </c>
      <c r="P82" s="55">
        <f t="shared" si="27"/>
        <v>0.63061028623045212</v>
      </c>
      <c r="T82" s="55">
        <f t="shared" si="1"/>
        <v>0.6283802856658951</v>
      </c>
      <c r="U82" s="55">
        <f t="shared" si="2"/>
        <v>3.3743656298056202E-2</v>
      </c>
    </row>
    <row r="83" spans="1:21">
      <c r="A83" s="93">
        <v>42591</v>
      </c>
      <c r="B83" s="55">
        <f t="shared" ref="B83:P83" si="28">B30/35.309</f>
        <v>0.62052168002492292</v>
      </c>
      <c r="C83" s="55">
        <f t="shared" si="28"/>
        <v>0.64006343991616876</v>
      </c>
      <c r="D83" s="55">
        <f t="shared" si="28"/>
        <v>0.57209210116400921</v>
      </c>
      <c r="E83" s="55">
        <f t="shared" si="28"/>
        <v>0.62052168002492292</v>
      </c>
      <c r="F83" s="55">
        <f t="shared" si="28"/>
        <v>0.63496558950975679</v>
      </c>
      <c r="G83" s="55">
        <f t="shared" si="28"/>
        <v>0.60721062618595834</v>
      </c>
      <c r="H83" s="55">
        <f t="shared" si="28"/>
        <v>0.63298309212948545</v>
      </c>
      <c r="I83" s="55">
        <f t="shared" si="28"/>
        <v>0.59758135319606909</v>
      </c>
      <c r="J83" s="55">
        <f t="shared" si="28"/>
        <v>0.66300376674502259</v>
      </c>
      <c r="K83" s="55">
        <f t="shared" si="28"/>
        <v>0.62590274434280224</v>
      </c>
      <c r="L83" s="55">
        <f t="shared" si="28"/>
        <v>0.63553201733269149</v>
      </c>
      <c r="M83" s="55">
        <f t="shared" si="28"/>
        <v>0.63298309212948545</v>
      </c>
      <c r="N83" s="55">
        <f t="shared" si="28"/>
        <v>0.62590274434280224</v>
      </c>
      <c r="O83" s="55">
        <f t="shared" si="28"/>
        <v>0.60636098445155628</v>
      </c>
      <c r="P83" s="55">
        <f t="shared" si="28"/>
        <v>0.62590274434280224</v>
      </c>
      <c r="T83" s="55">
        <f t="shared" si="1"/>
        <v>0.62148460732391186</v>
      </c>
      <c r="U83" s="55">
        <f t="shared" si="2"/>
        <v>2.4986822762569746E-2</v>
      </c>
    </row>
    <row r="84" spans="1:21">
      <c r="A84" s="93">
        <v>42598</v>
      </c>
      <c r="B84" s="55">
        <f>B31/36.17</f>
        <v>0.62593309372408068</v>
      </c>
      <c r="C84" s="55">
        <f t="shared" ref="C84:P84" si="29">C31/36.17</f>
        <v>0.61128006635333143</v>
      </c>
      <c r="D84" s="55">
        <f t="shared" si="29"/>
        <v>0.62068012164777431</v>
      </c>
      <c r="E84" s="55">
        <f t="shared" si="29"/>
        <v>0.61432126071329829</v>
      </c>
      <c r="F84" s="55">
        <f t="shared" si="29"/>
        <v>0.63173901022947199</v>
      </c>
      <c r="G84" s="55">
        <f t="shared" si="29"/>
        <v>0.63146253801492946</v>
      </c>
      <c r="H84" s="55">
        <f t="shared" si="29"/>
        <v>0.62538014929499586</v>
      </c>
      <c r="I84" s="55">
        <f t="shared" si="29"/>
        <v>0.58916228918993629</v>
      </c>
      <c r="J84" s="55">
        <f t="shared" si="29"/>
        <v>0.62427426043682599</v>
      </c>
      <c r="K84" s="55">
        <f t="shared" si="29"/>
        <v>0.58916228918993629</v>
      </c>
      <c r="L84" s="55">
        <f t="shared" si="29"/>
        <v>0.61210948299695878</v>
      </c>
      <c r="M84" s="55">
        <f t="shared" si="29"/>
        <v>0.65302737074923967</v>
      </c>
      <c r="N84" s="55">
        <f t="shared" si="29"/>
        <v>0.58916228918993629</v>
      </c>
      <c r="O84" s="55">
        <f t="shared" si="29"/>
        <v>0.622338954935029</v>
      </c>
      <c r="P84" s="55">
        <f t="shared" si="29"/>
        <v>0.58916228918993629</v>
      </c>
      <c r="T84" s="55">
        <f t="shared" si="1"/>
        <v>0.61633950787945802</v>
      </c>
      <c r="U84" s="55">
        <f t="shared" si="2"/>
        <v>1.5734942457535161E-2</v>
      </c>
    </row>
    <row r="85" spans="1:21">
      <c r="A85" s="93">
        <v>42605</v>
      </c>
      <c r="B85" s="55">
        <f>B32/36.378</f>
        <v>0.59211611413491672</v>
      </c>
      <c r="C85" s="55">
        <f t="shared" ref="C85:P85" si="30">C32/36.378</f>
        <v>0.63554895816152623</v>
      </c>
      <c r="D85" s="55">
        <f t="shared" si="30"/>
        <v>0.59266589697069649</v>
      </c>
      <c r="E85" s="55">
        <f t="shared" si="30"/>
        <v>0.63692341525097596</v>
      </c>
      <c r="F85" s="55">
        <f t="shared" si="30"/>
        <v>0.60805981637253292</v>
      </c>
      <c r="G85" s="55">
        <f t="shared" si="30"/>
        <v>0.58716806861289794</v>
      </c>
      <c r="H85" s="55">
        <f t="shared" si="30"/>
        <v>0.6130078618945517</v>
      </c>
      <c r="I85" s="55">
        <f t="shared" si="30"/>
        <v>0.60778492495464287</v>
      </c>
      <c r="J85" s="55">
        <f t="shared" si="30"/>
        <v>0.61630655890923092</v>
      </c>
      <c r="K85" s="55">
        <f t="shared" si="30"/>
        <v>0.59953818241794488</v>
      </c>
      <c r="L85" s="55">
        <f t="shared" si="30"/>
        <v>0.61465721040189125</v>
      </c>
      <c r="M85" s="55">
        <f t="shared" si="30"/>
        <v>0.6130078618945517</v>
      </c>
      <c r="N85" s="55">
        <f t="shared" si="30"/>
        <v>0.65451646599593161</v>
      </c>
      <c r="O85" s="55">
        <f t="shared" si="30"/>
        <v>0.64379570069822423</v>
      </c>
      <c r="P85" s="55">
        <f t="shared" si="30"/>
        <v>0.60778492495464287</v>
      </c>
      <c r="T85" s="55">
        <f t="shared" si="1"/>
        <v>0.60891197976799172</v>
      </c>
      <c r="U85" s="55">
        <f t="shared" si="2"/>
        <v>1.7237954504625438E-2</v>
      </c>
    </row>
    <row r="86" spans="1:21">
      <c r="A86" s="93">
        <v>42612</v>
      </c>
      <c r="B86" s="55">
        <f>B33/37.129</f>
        <v>0.60922728864230125</v>
      </c>
      <c r="C86" s="55">
        <f t="shared" ref="C86:P86" si="31">C33/37.129</f>
        <v>0.62619515742411591</v>
      </c>
      <c r="D86" s="55">
        <f t="shared" si="31"/>
        <v>0.60976595114331122</v>
      </c>
      <c r="E86" s="55">
        <f t="shared" si="31"/>
        <v>0.59845403862210134</v>
      </c>
      <c r="F86" s="55">
        <f t="shared" si="31"/>
        <v>0.60626464488674625</v>
      </c>
      <c r="G86" s="55">
        <f t="shared" si="31"/>
        <v>0.56882760106655184</v>
      </c>
      <c r="H86" s="55">
        <f t="shared" si="31"/>
        <v>0.60384066363220135</v>
      </c>
      <c r="I86" s="55">
        <f t="shared" si="31"/>
        <v>0.59603005736755632</v>
      </c>
      <c r="J86" s="55">
        <f t="shared" si="31"/>
        <v>0.62808047617765095</v>
      </c>
      <c r="K86" s="55">
        <f t="shared" si="31"/>
        <v>0.59603005736755632</v>
      </c>
      <c r="L86" s="55">
        <f t="shared" si="31"/>
        <v>0.59576072611705144</v>
      </c>
      <c r="M86" s="55">
        <f t="shared" si="31"/>
        <v>0.60384066363220135</v>
      </c>
      <c r="N86" s="55">
        <f t="shared" si="31"/>
        <v>0.59603005736755632</v>
      </c>
      <c r="O86" s="55">
        <f t="shared" si="31"/>
        <v>0.62808047617765095</v>
      </c>
      <c r="P86" s="55">
        <f t="shared" si="31"/>
        <v>0.64181636995340574</v>
      </c>
      <c r="T86" s="55">
        <f t="shared" si="1"/>
        <v>0.60427159363300942</v>
      </c>
      <c r="U86" s="55">
        <f t="shared" si="2"/>
        <v>1.67742420400201E-2</v>
      </c>
    </row>
    <row r="87" spans="1:21">
      <c r="A87" s="93">
        <v>42619</v>
      </c>
      <c r="B87" s="55">
        <f>B34/37.22</f>
        <v>0.6668457818377217</v>
      </c>
      <c r="C87" s="55">
        <f t="shared" ref="C87:P87" si="32">C34/37.22</f>
        <v>0.62063406770553475</v>
      </c>
      <c r="D87" s="55">
        <f t="shared" si="32"/>
        <v>0.60854379365932287</v>
      </c>
      <c r="E87" s="55">
        <f t="shared" si="32"/>
        <v>0.56851155292853306</v>
      </c>
      <c r="F87" s="55">
        <f t="shared" si="32"/>
        <v>0.60934981192907045</v>
      </c>
      <c r="G87" s="55">
        <f t="shared" si="32"/>
        <v>0.63487372380440621</v>
      </c>
      <c r="H87" s="55">
        <f t="shared" si="32"/>
        <v>0.65932294465341212</v>
      </c>
      <c r="I87" s="55">
        <f t="shared" si="32"/>
        <v>0.59430413756045142</v>
      </c>
      <c r="J87" s="55">
        <f t="shared" si="32"/>
        <v>0.57952713594841487</v>
      </c>
      <c r="K87" s="55">
        <f t="shared" si="32"/>
        <v>0.59430413756045142</v>
      </c>
      <c r="L87" s="55">
        <f t="shared" si="32"/>
        <v>0.63487372380440621</v>
      </c>
      <c r="M87" s="55">
        <f t="shared" si="32"/>
        <v>0.65932294465341212</v>
      </c>
      <c r="N87" s="55">
        <f t="shared" si="32"/>
        <v>0.59430413756045142</v>
      </c>
      <c r="O87" s="55">
        <f t="shared" si="32"/>
        <v>0.57952713594841487</v>
      </c>
      <c r="P87" s="55">
        <f t="shared" si="32"/>
        <v>0.64803868887694793</v>
      </c>
      <c r="T87" s="55">
        <f t="shared" si="1"/>
        <v>0.61362170875873179</v>
      </c>
      <c r="U87" s="55">
        <f t="shared" si="2"/>
        <v>3.233498918671264E-2</v>
      </c>
    </row>
    <row r="88" spans="1:21">
      <c r="A88" s="93">
        <v>42626</v>
      </c>
      <c r="B88" s="55">
        <f>B35/37.255</f>
        <v>0.59374580593208959</v>
      </c>
      <c r="C88" s="55">
        <f t="shared" ref="C88:P88" si="33">C35/37.255</f>
        <v>0.5701248154610119</v>
      </c>
      <c r="D88" s="55">
        <f t="shared" si="33"/>
        <v>0.65333512280230832</v>
      </c>
      <c r="E88" s="55">
        <f t="shared" si="33"/>
        <v>0.620319420212052</v>
      </c>
      <c r="F88" s="55">
        <f t="shared" si="33"/>
        <v>0.62005099986578982</v>
      </c>
      <c r="G88" s="55">
        <f t="shared" si="33"/>
        <v>0.65011407864716142</v>
      </c>
      <c r="H88" s="55">
        <f t="shared" si="33"/>
        <v>0.63964568514293374</v>
      </c>
      <c r="I88" s="55">
        <f t="shared" si="33"/>
        <v>0.58113004965776394</v>
      </c>
      <c r="J88" s="55">
        <f t="shared" si="33"/>
        <v>0.53979331633337801</v>
      </c>
      <c r="K88" s="55">
        <f t="shared" si="33"/>
        <v>0.58113004965776394</v>
      </c>
      <c r="L88" s="55">
        <f t="shared" si="33"/>
        <v>0.65011407864716142</v>
      </c>
      <c r="M88" s="55">
        <f t="shared" si="33"/>
        <v>0.63964568514293374</v>
      </c>
      <c r="N88" s="55">
        <f t="shared" si="33"/>
        <v>0.58113004965776394</v>
      </c>
      <c r="O88" s="55">
        <f t="shared" si="33"/>
        <v>0.53979331633337801</v>
      </c>
      <c r="P88" s="55">
        <f t="shared" si="33"/>
        <v>0.58113004965776394</v>
      </c>
      <c r="T88" s="55">
        <f t="shared" si="1"/>
        <v>0.60493893437122526</v>
      </c>
      <c r="U88" s="55">
        <f t="shared" si="2"/>
        <v>3.7664400616541888E-2</v>
      </c>
    </row>
    <row r="89" spans="1:21">
      <c r="A89" s="93">
        <v>42633</v>
      </c>
      <c r="B89" s="55">
        <f>B36/37.563</f>
        <v>0.62401831589596146</v>
      </c>
      <c r="C89" s="55">
        <f t="shared" ref="C89:P89" si="34">C36/37.563</f>
        <v>0.6216223411335623</v>
      </c>
      <c r="D89" s="55">
        <f t="shared" si="34"/>
        <v>0.66022415674999335</v>
      </c>
      <c r="E89" s="55">
        <f t="shared" si="34"/>
        <v>0.6250831935681388</v>
      </c>
      <c r="F89" s="55">
        <f t="shared" si="34"/>
        <v>0.5654500439262039</v>
      </c>
      <c r="G89" s="55">
        <f t="shared" si="34"/>
        <v>0.64797806351995313</v>
      </c>
      <c r="H89" s="55">
        <f t="shared" si="34"/>
        <v>0.6216223411335623</v>
      </c>
      <c r="I89" s="55">
        <f t="shared" si="34"/>
        <v>0.62375209647791707</v>
      </c>
      <c r="J89" s="55">
        <f t="shared" si="34"/>
        <v>0.61789526928094129</v>
      </c>
      <c r="K89" s="55">
        <f t="shared" si="34"/>
        <v>0.62375209647791707</v>
      </c>
      <c r="L89" s="55">
        <f t="shared" si="34"/>
        <v>0.64797806351995313</v>
      </c>
      <c r="M89" s="55">
        <f t="shared" si="34"/>
        <v>0.67486622474243274</v>
      </c>
      <c r="N89" s="55">
        <f t="shared" si="34"/>
        <v>0.62375209647791707</v>
      </c>
      <c r="O89" s="55">
        <f t="shared" si="34"/>
        <v>0.64451721108537652</v>
      </c>
      <c r="P89" s="55">
        <f t="shared" si="34"/>
        <v>0.67699598008678752</v>
      </c>
      <c r="T89" s="55">
        <f t="shared" si="1"/>
        <v>0.62313979181641499</v>
      </c>
      <c r="U89" s="55">
        <f t="shared" si="2"/>
        <v>2.4398783335059345E-2</v>
      </c>
    </row>
    <row r="90" spans="1:21">
      <c r="A90" s="93">
        <v>42640</v>
      </c>
      <c r="B90" s="55">
        <f>B37/38.036</f>
        <v>0.67935639920075719</v>
      </c>
      <c r="C90" s="55">
        <f t="shared" ref="C90:P90" si="35">C37/38.036</f>
        <v>0.62099064044589336</v>
      </c>
      <c r="D90" s="55">
        <f t="shared" si="35"/>
        <v>0.56025870228204855</v>
      </c>
      <c r="E90" s="55">
        <f t="shared" si="35"/>
        <v>0.61809864339047216</v>
      </c>
      <c r="F90" s="55">
        <f t="shared" si="35"/>
        <v>0.61389210221895052</v>
      </c>
      <c r="G90" s="55">
        <f t="shared" si="35"/>
        <v>0.63652855189820168</v>
      </c>
      <c r="H90" s="55">
        <f t="shared" si="35"/>
        <v>0.55552634346408658</v>
      </c>
      <c r="I90" s="55">
        <f t="shared" si="35"/>
        <v>0.60547901987590702</v>
      </c>
      <c r="J90" s="55">
        <f t="shared" si="35"/>
        <v>0.61704700809759172</v>
      </c>
      <c r="K90" s="55">
        <f t="shared" si="35"/>
        <v>0.60547901987590702</v>
      </c>
      <c r="L90" s="55">
        <f t="shared" si="35"/>
        <v>0.63652855189820168</v>
      </c>
      <c r="M90" s="55">
        <f t="shared" si="35"/>
        <v>0.55552634346408658</v>
      </c>
      <c r="N90" s="55">
        <f t="shared" si="35"/>
        <v>0.60547901987590702</v>
      </c>
      <c r="O90" s="55">
        <f t="shared" si="35"/>
        <v>0.61704700809759172</v>
      </c>
      <c r="P90" s="55">
        <f t="shared" si="35"/>
        <v>0.65806078451992844</v>
      </c>
      <c r="T90" s="55">
        <f t="shared" si="1"/>
        <v>0.61126564307498155</v>
      </c>
      <c r="U90" s="55">
        <f t="shared" si="2"/>
        <v>3.5326573432896635E-2</v>
      </c>
    </row>
    <row r="91" spans="1:21">
      <c r="A91" s="93">
        <v>42647</v>
      </c>
      <c r="B91" s="55">
        <f>B38/38.42</f>
        <v>0.55596043727225397</v>
      </c>
      <c r="C91" s="55">
        <f t="shared" ref="C91:P91" si="36">C38/38.42</f>
        <v>0.58042686100989072</v>
      </c>
      <c r="D91" s="55">
        <f t="shared" si="36"/>
        <v>0.59370119729307647</v>
      </c>
      <c r="E91" s="55">
        <f t="shared" si="36"/>
        <v>0.60957834461218119</v>
      </c>
      <c r="F91" s="55">
        <f t="shared" si="36"/>
        <v>0.61478396668401869</v>
      </c>
      <c r="G91" s="55">
        <f t="shared" si="36"/>
        <v>0.60853722019781353</v>
      </c>
      <c r="H91" s="55">
        <f t="shared" si="36"/>
        <v>0.55283706402915145</v>
      </c>
      <c r="I91" s="55">
        <f t="shared" si="36"/>
        <v>0.57912545549193128</v>
      </c>
      <c r="J91" s="55">
        <f t="shared" si="36"/>
        <v>0.54945340968245704</v>
      </c>
      <c r="K91" s="55">
        <f t="shared" si="36"/>
        <v>0.57912545549193128</v>
      </c>
      <c r="L91" s="55">
        <f t="shared" si="36"/>
        <v>0.55648099947943774</v>
      </c>
      <c r="M91" s="55">
        <f t="shared" si="36"/>
        <v>0.55283706402915145</v>
      </c>
      <c r="N91" s="55">
        <f t="shared" si="36"/>
        <v>0.57912545549193128</v>
      </c>
      <c r="O91" s="55">
        <f t="shared" si="36"/>
        <v>0.57548152004164499</v>
      </c>
      <c r="P91" s="55">
        <f t="shared" si="36"/>
        <v>0.57912545549193128</v>
      </c>
      <c r="T91" s="55">
        <f t="shared" si="1"/>
        <v>0.58235294117647063</v>
      </c>
      <c r="U91" s="55">
        <f t="shared" si="2"/>
        <v>2.4225943264734651E-2</v>
      </c>
    </row>
    <row r="92" spans="1:21">
      <c r="A92" s="93">
        <v>42654</v>
      </c>
      <c r="B92" s="55">
        <f>B39/38.564</f>
        <v>0.573591951042423</v>
      </c>
      <c r="C92" s="55">
        <f t="shared" ref="C92:P92" si="37">C39/38.564</f>
        <v>0.55544030702209324</v>
      </c>
      <c r="D92" s="55">
        <f t="shared" si="37"/>
        <v>0.59200290426304325</v>
      </c>
      <c r="E92" s="55">
        <f t="shared" si="37"/>
        <v>0.5787781350482315</v>
      </c>
      <c r="F92" s="55">
        <f t="shared" si="37"/>
        <v>0.57825951664765063</v>
      </c>
      <c r="G92" s="55">
        <f t="shared" si="37"/>
        <v>0.55129135981744637</v>
      </c>
      <c r="H92" s="55">
        <f t="shared" si="37"/>
        <v>0.57981537184939325</v>
      </c>
      <c r="I92" s="55">
        <f t="shared" si="37"/>
        <v>0.54792034021367075</v>
      </c>
      <c r="J92" s="55">
        <f t="shared" si="37"/>
        <v>0.61015454828337312</v>
      </c>
      <c r="K92" s="55">
        <f t="shared" si="37"/>
        <v>0.54792034021367075</v>
      </c>
      <c r="L92" s="55">
        <f t="shared" si="37"/>
        <v>0.55129135981744637</v>
      </c>
      <c r="M92" s="55">
        <f t="shared" si="37"/>
        <v>0.57981537184939325</v>
      </c>
      <c r="N92" s="55">
        <f t="shared" si="37"/>
        <v>0.54792034021367075</v>
      </c>
      <c r="O92" s="55">
        <f t="shared" si="37"/>
        <v>0.5842236282543305</v>
      </c>
      <c r="P92" s="55">
        <f t="shared" si="37"/>
        <v>0.54792034021367075</v>
      </c>
      <c r="T92" s="55">
        <f t="shared" si="1"/>
        <v>0.57151747744009962</v>
      </c>
      <c r="U92" s="55">
        <f t="shared" si="2"/>
        <v>2.0723115656731333E-2</v>
      </c>
    </row>
    <row r="93" spans="1:21">
      <c r="A93" s="93">
        <v>42661</v>
      </c>
      <c r="B93" s="55">
        <f>B40/39.007</f>
        <v>0.6057887045914836</v>
      </c>
      <c r="C93" s="55">
        <f t="shared" ref="C93:P93" si="38">C40/39.007</f>
        <v>0.6547542748737406</v>
      </c>
      <c r="D93" s="55">
        <f t="shared" si="38"/>
        <v>0.69525982515958684</v>
      </c>
      <c r="E93" s="55">
        <f t="shared" si="38"/>
        <v>0.55297767067449433</v>
      </c>
      <c r="F93" s="55">
        <f t="shared" si="38"/>
        <v>0.60348142641064428</v>
      </c>
      <c r="G93" s="55">
        <f t="shared" si="38"/>
        <v>0.64937062578511551</v>
      </c>
      <c r="H93" s="55">
        <f t="shared" si="38"/>
        <v>0.59630322762581078</v>
      </c>
      <c r="I93" s="55">
        <f t="shared" si="38"/>
        <v>0.61117235368010869</v>
      </c>
      <c r="J93" s="55">
        <f t="shared" si="38"/>
        <v>0.6004050555028585</v>
      </c>
      <c r="K93" s="55">
        <f t="shared" si="38"/>
        <v>0.593226856718025</v>
      </c>
      <c r="L93" s="55">
        <f t="shared" si="38"/>
        <v>0.64937062578511551</v>
      </c>
      <c r="M93" s="55">
        <f t="shared" si="38"/>
        <v>0.59630322762581078</v>
      </c>
      <c r="N93" s="55">
        <f t="shared" si="38"/>
        <v>0.61117235368010869</v>
      </c>
      <c r="O93" s="55">
        <f t="shared" si="38"/>
        <v>0.6004050555028585</v>
      </c>
      <c r="P93" s="55">
        <f t="shared" si="38"/>
        <v>0.593226856718025</v>
      </c>
      <c r="T93" s="55">
        <f t="shared" si="1"/>
        <v>0.61627400210218686</v>
      </c>
      <c r="U93" s="55">
        <f t="shared" si="2"/>
        <v>3.986469921440295E-2</v>
      </c>
    </row>
    <row r="94" spans="1:21">
      <c r="A94" s="93">
        <v>42668</v>
      </c>
      <c r="B94" s="55">
        <f>B41/38.937</f>
        <v>0.62203045946015356</v>
      </c>
      <c r="C94" s="55">
        <f t="shared" ref="C94:P94" si="39">C41/38.937</f>
        <v>0.61971903331021905</v>
      </c>
      <c r="D94" s="55">
        <f t="shared" si="39"/>
        <v>0.55602640162313477</v>
      </c>
      <c r="E94" s="55">
        <f t="shared" si="39"/>
        <v>0.51647533194647766</v>
      </c>
      <c r="F94" s="55">
        <f t="shared" si="39"/>
        <v>0.57888383799470944</v>
      </c>
      <c r="G94" s="55">
        <f t="shared" si="39"/>
        <v>0.62203045946015356</v>
      </c>
      <c r="H94" s="55">
        <f t="shared" si="39"/>
        <v>0.62588283637671116</v>
      </c>
      <c r="I94" s="55">
        <f t="shared" si="39"/>
        <v>0.64231964455402324</v>
      </c>
      <c r="J94" s="55">
        <f t="shared" si="39"/>
        <v>0.62228728458792415</v>
      </c>
      <c r="K94" s="55">
        <f t="shared" si="39"/>
        <v>0.64231964455402324</v>
      </c>
      <c r="L94" s="55">
        <f t="shared" si="39"/>
        <v>0.6477129722372037</v>
      </c>
      <c r="M94" s="55">
        <f t="shared" si="39"/>
        <v>0.6515653491537613</v>
      </c>
      <c r="N94" s="55">
        <f t="shared" si="39"/>
        <v>0.64231964455402324</v>
      </c>
      <c r="O94" s="55">
        <f t="shared" si="39"/>
        <v>0.64796979736497429</v>
      </c>
      <c r="P94" s="55">
        <f t="shared" si="39"/>
        <v>0.64231964455402324</v>
      </c>
      <c r="T94" s="55">
        <f t="shared" si="1"/>
        <v>0.60479749338675293</v>
      </c>
      <c r="U94" s="55">
        <f t="shared" si="2"/>
        <v>4.1141830380931659E-2</v>
      </c>
    </row>
    <row r="95" spans="1:21">
      <c r="A95" s="93">
        <v>42677</v>
      </c>
      <c r="B95" s="55">
        <f>B42/40.331</f>
        <v>0.69202350549205316</v>
      </c>
      <c r="C95" s="55">
        <f t="shared" ref="C95:P95" si="40">C42/40.331</f>
        <v>0.56036299620639207</v>
      </c>
      <c r="D95" s="55">
        <f t="shared" si="40"/>
        <v>0.62482953559296817</v>
      </c>
      <c r="E95" s="55">
        <f t="shared" si="40"/>
        <v>0.64243385981007162</v>
      </c>
      <c r="F95" s="55">
        <f t="shared" si="40"/>
        <v>0.63028439661798619</v>
      </c>
      <c r="G95" s="55">
        <f t="shared" si="40"/>
        <v>0.63078029307480599</v>
      </c>
      <c r="H95" s="55">
        <f t="shared" si="40"/>
        <v>0.62854875901911678</v>
      </c>
      <c r="I95" s="55">
        <f t="shared" si="40"/>
        <v>0.59755523046787828</v>
      </c>
      <c r="J95" s="55">
        <f t="shared" si="40"/>
        <v>0.58044680270759463</v>
      </c>
      <c r="K95" s="55">
        <f t="shared" si="40"/>
        <v>0.59755523046787828</v>
      </c>
      <c r="L95" s="55">
        <f t="shared" si="40"/>
        <v>0.55639582455183356</v>
      </c>
      <c r="M95" s="55">
        <f t="shared" si="40"/>
        <v>0.55416429049614435</v>
      </c>
      <c r="N95" s="55">
        <f t="shared" si="40"/>
        <v>0.59755523046787828</v>
      </c>
      <c r="O95" s="55">
        <f t="shared" si="40"/>
        <v>0.58044680270759463</v>
      </c>
      <c r="P95" s="55">
        <f t="shared" si="40"/>
        <v>0.54796558478589674</v>
      </c>
      <c r="T95" s="55">
        <f t="shared" si="1"/>
        <v>0.61848206094567448</v>
      </c>
      <c r="U95" s="55">
        <f t="shared" si="2"/>
        <v>3.6688742207978596E-2</v>
      </c>
    </row>
    <row r="96" spans="1:21">
      <c r="A96" s="93">
        <v>42684</v>
      </c>
      <c r="B96" s="55">
        <f>B43/40.468</f>
        <v>0.55945438371058609</v>
      </c>
      <c r="C96" s="55">
        <f t="shared" ref="C96:P96" si="41">C43/40.468</f>
        <v>0.62049026391222684</v>
      </c>
      <c r="D96" s="55">
        <f t="shared" si="41"/>
        <v>0.60418108134822568</v>
      </c>
      <c r="E96" s="55">
        <f t="shared" si="41"/>
        <v>0.59849757833349804</v>
      </c>
      <c r="F96" s="55">
        <f t="shared" si="41"/>
        <v>0.68819808243550462</v>
      </c>
      <c r="G96" s="55">
        <f t="shared" si="41"/>
        <v>0.63852920826331916</v>
      </c>
      <c r="H96" s="55">
        <f t="shared" si="41"/>
        <v>0.6330928140753187</v>
      </c>
      <c r="I96" s="55">
        <f t="shared" si="41"/>
        <v>0.62543244044677271</v>
      </c>
      <c r="J96" s="55">
        <f t="shared" si="41"/>
        <v>0.63210437876840952</v>
      </c>
      <c r="K96" s="55">
        <f t="shared" si="41"/>
        <v>0.62543244044677271</v>
      </c>
      <c r="L96" s="55">
        <f t="shared" si="41"/>
        <v>0.62123159039240883</v>
      </c>
      <c r="M96" s="55">
        <f t="shared" si="41"/>
        <v>0.6330928140753187</v>
      </c>
      <c r="N96" s="55">
        <f t="shared" si="41"/>
        <v>0.62543244044677271</v>
      </c>
      <c r="O96" s="55">
        <f t="shared" si="41"/>
        <v>0.63037461698131858</v>
      </c>
      <c r="P96" s="55">
        <f t="shared" si="41"/>
        <v>0.62543244044677271</v>
      </c>
      <c r="T96" s="55">
        <f t="shared" si="1"/>
        <v>0.62254126717406333</v>
      </c>
      <c r="U96" s="55">
        <f t="shared" si="2"/>
        <v>3.2804631342820328E-2</v>
      </c>
    </row>
    <row r="97" spans="1:21">
      <c r="A97" s="93">
        <v>42691</v>
      </c>
      <c r="B97" s="55">
        <f>B44/40.698</f>
        <v>0.62754926532016309</v>
      </c>
      <c r="C97" s="55">
        <f t="shared" ref="C97:P97" si="42">C44/40.698</f>
        <v>0.66637181188264782</v>
      </c>
      <c r="D97" s="55">
        <f t="shared" si="42"/>
        <v>0.62804068996019458</v>
      </c>
      <c r="E97" s="55">
        <f t="shared" si="42"/>
        <v>0.61845790947958135</v>
      </c>
      <c r="F97" s="55">
        <f t="shared" si="42"/>
        <v>0.61722934787950268</v>
      </c>
      <c r="G97" s="55">
        <f t="shared" si="42"/>
        <v>0.62312644355988012</v>
      </c>
      <c r="H97" s="55">
        <f t="shared" si="42"/>
        <v>0.62165216963978576</v>
      </c>
      <c r="I97" s="55">
        <f t="shared" si="42"/>
        <v>0.54326993955476921</v>
      </c>
      <c r="J97" s="55">
        <f t="shared" si="42"/>
        <v>0.55088702147525681</v>
      </c>
      <c r="K97" s="55">
        <f t="shared" si="42"/>
        <v>0.63418349796058771</v>
      </c>
      <c r="L97" s="55">
        <f t="shared" si="42"/>
        <v>0.54941274755516245</v>
      </c>
      <c r="M97" s="55">
        <f t="shared" si="42"/>
        <v>0.54793847363506809</v>
      </c>
      <c r="N97" s="55">
        <f t="shared" si="42"/>
        <v>0.58504103395744256</v>
      </c>
      <c r="O97" s="55">
        <f t="shared" si="42"/>
        <v>0.57545825347682933</v>
      </c>
      <c r="P97" s="55">
        <f t="shared" si="42"/>
        <v>0.54326993955476921</v>
      </c>
      <c r="T97" s="55">
        <f t="shared" si="1"/>
        <v>0.6130768096712369</v>
      </c>
      <c r="U97" s="55">
        <f t="shared" si="2"/>
        <v>3.7535938123044441E-2</v>
      </c>
    </row>
    <row r="98" spans="1:21">
      <c r="A98" s="93">
        <v>42699</v>
      </c>
      <c r="B98" s="55">
        <f>B45/41.448</f>
        <v>0.66637714726886699</v>
      </c>
      <c r="C98" s="55">
        <f t="shared" ref="C98:P98" si="43">C45/41.448</f>
        <v>0.60919706620343561</v>
      </c>
      <c r="D98" s="55">
        <f t="shared" si="43"/>
        <v>0.61860644663192432</v>
      </c>
      <c r="E98" s="55">
        <f t="shared" si="43"/>
        <v>0.65672650067554528</v>
      </c>
      <c r="F98" s="55">
        <f t="shared" si="43"/>
        <v>0.54309013703918163</v>
      </c>
      <c r="G98" s="55">
        <f t="shared" si="43"/>
        <v>0.58193398957730169</v>
      </c>
      <c r="H98" s="55">
        <f t="shared" si="43"/>
        <v>0.61329859100559736</v>
      </c>
      <c r="I98" s="55">
        <f t="shared" si="43"/>
        <v>0.65455510519204785</v>
      </c>
      <c r="J98" s="55">
        <f t="shared" si="43"/>
        <v>0.61088592935726693</v>
      </c>
      <c r="K98" s="55">
        <f t="shared" si="43"/>
        <v>0.65455510519204785</v>
      </c>
      <c r="L98" s="55">
        <f t="shared" si="43"/>
        <v>0.58193398957730169</v>
      </c>
      <c r="M98" s="55">
        <f t="shared" si="43"/>
        <v>0.61329859100559736</v>
      </c>
      <c r="N98" s="55">
        <f t="shared" si="43"/>
        <v>0.65455510519204785</v>
      </c>
      <c r="O98" s="55">
        <f t="shared" si="43"/>
        <v>0.61088592935726693</v>
      </c>
      <c r="P98" s="55">
        <f t="shared" si="43"/>
        <v>0.67144373673036084</v>
      </c>
      <c r="T98" s="55">
        <f t="shared" si="1"/>
        <v>0.62092260181432168</v>
      </c>
      <c r="U98" s="55">
        <f t="shared" si="2"/>
        <v>3.8715548118731818E-2</v>
      </c>
    </row>
    <row r="99" spans="1:21">
      <c r="A99" s="93">
        <v>42708</v>
      </c>
      <c r="B99" s="55">
        <f>B46/41.8422</f>
        <v>0.59318104688568007</v>
      </c>
      <c r="C99" s="55">
        <f t="shared" ref="C99:P99" si="44">C46/41.8422</f>
        <v>0.6476714895488288</v>
      </c>
      <c r="D99" s="55">
        <f t="shared" si="44"/>
        <v>0.60178480099038767</v>
      </c>
      <c r="E99" s="55">
        <f t="shared" si="44"/>
        <v>0.60130681465123725</v>
      </c>
      <c r="F99" s="55">
        <f t="shared" si="44"/>
        <v>0.58983514251162705</v>
      </c>
      <c r="G99" s="55">
        <f t="shared" si="44"/>
        <v>0.56474085970622956</v>
      </c>
      <c r="H99" s="55">
        <f t="shared" si="44"/>
        <v>0.61038855509509538</v>
      </c>
      <c r="I99" s="55">
        <f t="shared" si="44"/>
        <v>0.64814947588797922</v>
      </c>
      <c r="J99" s="55">
        <f t="shared" si="44"/>
        <v>0.61110553460382111</v>
      </c>
      <c r="K99" s="55">
        <f t="shared" si="44"/>
        <v>0.64814947588797922</v>
      </c>
      <c r="L99" s="55">
        <f t="shared" si="44"/>
        <v>0.56474085970622956</v>
      </c>
      <c r="M99" s="55">
        <f t="shared" si="44"/>
        <v>0.61038855509509538</v>
      </c>
      <c r="N99" s="55">
        <f t="shared" si="44"/>
        <v>0.64814947588797922</v>
      </c>
      <c r="O99" s="55">
        <f t="shared" si="44"/>
        <v>0.61110553460382111</v>
      </c>
      <c r="P99" s="55">
        <f t="shared" si="44"/>
        <v>0.64814947588797922</v>
      </c>
      <c r="T99" s="55">
        <f t="shared" si="1"/>
        <v>0.61163131957688655</v>
      </c>
      <c r="U99" s="55">
        <f t="shared" si="2"/>
        <v>2.8256005654413302E-2</v>
      </c>
    </row>
    <row r="100" spans="1:21">
      <c r="A100" s="93">
        <v>42715</v>
      </c>
      <c r="B100" s="55">
        <f>B47/41.9044</f>
        <v>0.59945972260669522</v>
      </c>
      <c r="C100" s="55">
        <f t="shared" ref="C100:P100" si="45">C47/41.9044</f>
        <v>0.60232338370195004</v>
      </c>
      <c r="D100" s="55">
        <f t="shared" si="45"/>
        <v>0.65243745286891108</v>
      </c>
      <c r="E100" s="55">
        <f t="shared" si="45"/>
        <v>0.59922108418209064</v>
      </c>
      <c r="F100" s="55">
        <f t="shared" si="45"/>
        <v>0.64671013067840133</v>
      </c>
      <c r="G100" s="55">
        <f t="shared" si="45"/>
        <v>0.60184610685274098</v>
      </c>
      <c r="H100" s="55">
        <f t="shared" si="45"/>
        <v>0.66413073567453529</v>
      </c>
      <c r="I100" s="55">
        <f t="shared" si="45"/>
        <v>0.65983524403165295</v>
      </c>
      <c r="J100" s="55">
        <f t="shared" si="45"/>
        <v>0.59922108418209064</v>
      </c>
      <c r="K100" s="55">
        <f t="shared" si="45"/>
        <v>0.61210755911073766</v>
      </c>
      <c r="L100" s="55">
        <f t="shared" si="45"/>
        <v>0.64957379177365615</v>
      </c>
      <c r="M100" s="55">
        <f t="shared" si="45"/>
        <v>0.66413073567453529</v>
      </c>
      <c r="N100" s="55">
        <f t="shared" si="45"/>
        <v>0.61210755911073766</v>
      </c>
      <c r="O100" s="55">
        <f t="shared" si="45"/>
        <v>0.59922108418209064</v>
      </c>
      <c r="P100" s="55">
        <f t="shared" si="45"/>
        <v>0.61210755911073766</v>
      </c>
      <c r="T100" s="55">
        <f t="shared" si="1"/>
        <v>0.62372925038898064</v>
      </c>
      <c r="U100" s="55">
        <f t="shared" si="2"/>
        <v>2.8187195175884281E-2</v>
      </c>
    </row>
    <row r="101" spans="1:21">
      <c r="A101" s="93">
        <v>42722</v>
      </c>
      <c r="B101" s="55">
        <f>B48/42.0688</f>
        <v>0.60472369071616017</v>
      </c>
      <c r="C101" s="55">
        <f t="shared" ref="C101:P101" si="46">C48/42.0688</f>
        <v>0.60258433803673983</v>
      </c>
      <c r="D101" s="55">
        <f t="shared" si="46"/>
        <v>0.61328110143384162</v>
      </c>
      <c r="E101" s="55">
        <f t="shared" si="46"/>
        <v>0.6056745141292359</v>
      </c>
      <c r="F101" s="55">
        <f t="shared" si="46"/>
        <v>0.59996957365078152</v>
      </c>
      <c r="G101" s="55">
        <f t="shared" si="46"/>
        <v>0.60234663218347084</v>
      </c>
      <c r="H101" s="55">
        <f t="shared" si="46"/>
        <v>0.60258433803673983</v>
      </c>
      <c r="I101" s="55">
        <f t="shared" si="46"/>
        <v>0.65202715551667734</v>
      </c>
      <c r="J101" s="55">
        <f t="shared" si="46"/>
        <v>0.64679762674476093</v>
      </c>
      <c r="K101" s="55">
        <f t="shared" si="46"/>
        <v>0.65202715551667734</v>
      </c>
      <c r="L101" s="55">
        <f t="shared" si="46"/>
        <v>0.649887802837257</v>
      </c>
      <c r="M101" s="55">
        <f t="shared" si="46"/>
        <v>0.60258433803673983</v>
      </c>
      <c r="N101" s="55">
        <f t="shared" si="46"/>
        <v>0.65202715551667734</v>
      </c>
      <c r="O101" s="55">
        <f t="shared" si="46"/>
        <v>0.64679762674476093</v>
      </c>
      <c r="P101" s="55">
        <f t="shared" si="46"/>
        <v>0.65202715551667734</v>
      </c>
      <c r="T101" s="55">
        <f t="shared" si="1"/>
        <v>0.61820161259650852</v>
      </c>
      <c r="U101" s="55">
        <f t="shared" si="2"/>
        <v>2.2460946142497541E-2</v>
      </c>
    </row>
    <row r="102" spans="1:21">
      <c r="A102" s="93">
        <v>42729</v>
      </c>
      <c r="B102" s="55">
        <f>B49/42.21</f>
        <v>0.61217720919213459</v>
      </c>
      <c r="C102" s="55">
        <f t="shared" ref="C102:P102" si="47">C49/42.21</f>
        <v>0.65434731106372901</v>
      </c>
      <c r="D102" s="55">
        <f t="shared" si="47"/>
        <v>0.59962094290452495</v>
      </c>
      <c r="E102" s="55">
        <f t="shared" si="47"/>
        <v>0.60435915659796258</v>
      </c>
      <c r="F102" s="55">
        <f t="shared" si="47"/>
        <v>0.64795072257758823</v>
      </c>
      <c r="G102" s="55">
        <f t="shared" si="47"/>
        <v>0.64465766406064906</v>
      </c>
      <c r="H102" s="55">
        <f t="shared" si="47"/>
        <v>0.59535655058043113</v>
      </c>
      <c r="I102" s="55">
        <f t="shared" si="47"/>
        <v>0.64036958066808813</v>
      </c>
      <c r="J102" s="55">
        <f t="shared" si="47"/>
        <v>0.60341151385927505</v>
      </c>
      <c r="K102" s="55">
        <f t="shared" si="47"/>
        <v>0.59298744373371237</v>
      </c>
      <c r="L102" s="55">
        <f t="shared" si="47"/>
        <v>0.64465766406064906</v>
      </c>
      <c r="M102" s="55">
        <f t="shared" si="47"/>
        <v>0.59535655058043113</v>
      </c>
      <c r="N102" s="55">
        <f t="shared" si="47"/>
        <v>0.64036958066808813</v>
      </c>
      <c r="O102" s="55">
        <f t="shared" si="47"/>
        <v>0.60341151385927505</v>
      </c>
      <c r="P102" s="55">
        <f t="shared" si="47"/>
        <v>0.64036958066808813</v>
      </c>
      <c r="T102" s="55">
        <f t="shared" si="1"/>
        <v>0.61952380952380948</v>
      </c>
      <c r="U102" s="55">
        <f t="shared" si="2"/>
        <v>2.4301181919061356E-2</v>
      </c>
    </row>
    <row r="103" spans="1:21">
      <c r="A103" s="93" t="s">
        <v>390</v>
      </c>
      <c r="B103" s="55">
        <f>B50/42.43</f>
        <v>0.59769031345745938</v>
      </c>
      <c r="C103" s="55">
        <f t="shared" ref="C103:P103" si="48">C50/42.43</f>
        <v>0.64341267970775395</v>
      </c>
      <c r="D103" s="55">
        <f t="shared" si="48"/>
        <v>0.65543247702097573</v>
      </c>
      <c r="E103" s="55">
        <f t="shared" si="48"/>
        <v>0.59910440725901493</v>
      </c>
      <c r="F103" s="55">
        <f t="shared" si="48"/>
        <v>0.60381805326419991</v>
      </c>
      <c r="G103" s="55">
        <f t="shared" si="48"/>
        <v>0.59816167805797782</v>
      </c>
      <c r="H103" s="55">
        <f t="shared" si="48"/>
        <v>0.59486212585434828</v>
      </c>
      <c r="I103" s="55">
        <f t="shared" si="48"/>
        <v>0.64223426820645768</v>
      </c>
      <c r="J103" s="55">
        <f t="shared" si="48"/>
        <v>0.59179825595097812</v>
      </c>
      <c r="K103" s="55">
        <f t="shared" si="48"/>
        <v>0.64223426820645768</v>
      </c>
      <c r="L103" s="55">
        <f t="shared" si="48"/>
        <v>0.59816167805797782</v>
      </c>
      <c r="M103" s="55">
        <f t="shared" si="48"/>
        <v>0.59486212585434828</v>
      </c>
      <c r="N103" s="55">
        <f t="shared" si="48"/>
        <v>0.64223426820645768</v>
      </c>
      <c r="O103" s="55">
        <f t="shared" si="48"/>
        <v>0.63893471600282814</v>
      </c>
      <c r="P103" s="55">
        <f t="shared" si="48"/>
        <v>0.64223426820645768</v>
      </c>
      <c r="T103" s="55">
        <f t="shared" si="1"/>
        <v>0.61687485269856235</v>
      </c>
      <c r="U103" s="55">
        <f t="shared" si="2"/>
        <v>2.5375054694484631E-2</v>
      </c>
    </row>
    <row r="104" spans="1:21">
      <c r="A104" s="93">
        <v>42744</v>
      </c>
      <c r="B104" s="55">
        <f>B51/42.51</f>
        <v>0.63796753705010589</v>
      </c>
      <c r="C104" s="55">
        <f t="shared" ref="C104:P104" si="49">C51/42.51</f>
        <v>0.59797694660079992</v>
      </c>
      <c r="D104" s="55">
        <f t="shared" si="49"/>
        <v>0.65466948953187487</v>
      </c>
      <c r="E104" s="55">
        <f t="shared" si="49"/>
        <v>0.64267231239708311</v>
      </c>
      <c r="F104" s="55">
        <f t="shared" si="49"/>
        <v>0.64220183486238536</v>
      </c>
      <c r="G104" s="55">
        <f t="shared" si="49"/>
        <v>0.5942131263232181</v>
      </c>
      <c r="H104" s="55">
        <f t="shared" si="49"/>
        <v>0.64361326746647851</v>
      </c>
      <c r="I104" s="55">
        <f t="shared" si="49"/>
        <v>0.68525052928722652</v>
      </c>
      <c r="J104" s="55">
        <f t="shared" si="49"/>
        <v>0.60056457304163735</v>
      </c>
      <c r="K104" s="55">
        <f t="shared" si="49"/>
        <v>0.68525052928722652</v>
      </c>
      <c r="L104" s="55">
        <f t="shared" si="49"/>
        <v>0.5942131263232181</v>
      </c>
      <c r="M104" s="55">
        <f t="shared" si="49"/>
        <v>0.64361326746647851</v>
      </c>
      <c r="N104" s="55">
        <f t="shared" si="49"/>
        <v>0.68525052928722652</v>
      </c>
      <c r="O104" s="55">
        <f t="shared" si="49"/>
        <v>0.6476123265114091</v>
      </c>
      <c r="P104" s="55">
        <f t="shared" si="49"/>
        <v>0.68525052928722652</v>
      </c>
      <c r="T104" s="55">
        <f t="shared" si="1"/>
        <v>0.63843801458480365</v>
      </c>
      <c r="U104" s="55">
        <f t="shared" si="2"/>
        <v>3.2884850269979941E-2</v>
      </c>
    </row>
    <row r="105" spans="1:21">
      <c r="A105" s="93">
        <v>42751</v>
      </c>
      <c r="B105" s="55">
        <f>B52/43.51</f>
        <v>0.58905998621006661</v>
      </c>
      <c r="C105" s="55">
        <f t="shared" ref="C105:P105" si="50">C52/43.51</f>
        <v>0.67892438519880494</v>
      </c>
      <c r="D105" s="55">
        <f t="shared" si="50"/>
        <v>0.62330498735922779</v>
      </c>
      <c r="E105" s="55">
        <f t="shared" si="50"/>
        <v>0.67961388186623772</v>
      </c>
      <c r="F105" s="55">
        <f t="shared" si="50"/>
        <v>0.67892438519880494</v>
      </c>
      <c r="G105" s="55">
        <f t="shared" si="50"/>
        <v>0.67409790852677542</v>
      </c>
      <c r="H105" s="55">
        <f t="shared" si="50"/>
        <v>0.58055619397839586</v>
      </c>
      <c r="I105" s="55">
        <f t="shared" si="50"/>
        <v>0.59388646288209612</v>
      </c>
      <c r="J105" s="55">
        <f t="shared" si="50"/>
        <v>0.58423350953803732</v>
      </c>
      <c r="K105" s="55">
        <f t="shared" si="50"/>
        <v>0.57779820730866471</v>
      </c>
      <c r="L105" s="55">
        <f t="shared" si="50"/>
        <v>0.67409790852677542</v>
      </c>
      <c r="M105" s="55">
        <f t="shared" si="50"/>
        <v>0.58055619397839586</v>
      </c>
      <c r="N105" s="55">
        <f t="shared" si="50"/>
        <v>0.68581935187313259</v>
      </c>
      <c r="O105" s="55">
        <f t="shared" si="50"/>
        <v>0.58423350953803732</v>
      </c>
      <c r="P105" s="55">
        <f t="shared" si="50"/>
        <v>0.66973109629970129</v>
      </c>
      <c r="T105" s="55">
        <f t="shared" si="1"/>
        <v>0.62603999080671113</v>
      </c>
      <c r="U105" s="55">
        <f t="shared" si="2"/>
        <v>4.6339233756394503E-2</v>
      </c>
    </row>
    <row r="106" spans="1:21">
      <c r="A106" s="93">
        <v>42758</v>
      </c>
      <c r="B106" s="55">
        <f>B53/43.37</f>
        <v>0.58150795480747064</v>
      </c>
      <c r="C106" s="55">
        <f t="shared" ref="C106:P106" si="51">C53/43.37</f>
        <v>0.67166243947429105</v>
      </c>
      <c r="D106" s="55">
        <f t="shared" si="51"/>
        <v>0.59142264237952502</v>
      </c>
      <c r="E106" s="55">
        <f t="shared" si="51"/>
        <v>0.67120129121512573</v>
      </c>
      <c r="F106" s="55">
        <f t="shared" si="51"/>
        <v>0.68111597878718011</v>
      </c>
      <c r="G106" s="55">
        <f t="shared" si="51"/>
        <v>0.58150795480747064</v>
      </c>
      <c r="H106" s="55">
        <f t="shared" si="51"/>
        <v>0.58496656675121061</v>
      </c>
      <c r="I106" s="55">
        <f t="shared" si="51"/>
        <v>0.57666589808623481</v>
      </c>
      <c r="J106" s="55">
        <f t="shared" si="51"/>
        <v>0.62785335485358551</v>
      </c>
      <c r="K106" s="55">
        <f t="shared" si="51"/>
        <v>0.57666589808623481</v>
      </c>
      <c r="L106" s="55">
        <f t="shared" si="51"/>
        <v>0.58150795480747064</v>
      </c>
      <c r="M106" s="55">
        <f t="shared" si="51"/>
        <v>0.67719621858427492</v>
      </c>
      <c r="N106" s="55">
        <f t="shared" si="51"/>
        <v>0.57666589808623481</v>
      </c>
      <c r="O106" s="55">
        <f t="shared" si="51"/>
        <v>0.62785335485358551</v>
      </c>
      <c r="P106" s="55">
        <f t="shared" si="51"/>
        <v>0.62278072400276696</v>
      </c>
      <c r="T106" s="55">
        <f t="shared" si="1"/>
        <v>0.61445699792483299</v>
      </c>
      <c r="U106" s="55">
        <f t="shared" si="2"/>
        <v>4.4150172866614816E-2</v>
      </c>
    </row>
    <row r="112" spans="1:21">
      <c r="A112" s="77" t="s">
        <v>391</v>
      </c>
    </row>
    <row r="113" spans="1:16">
      <c r="A113" s="55" t="s">
        <v>26</v>
      </c>
      <c r="B113" s="55" t="s">
        <v>27</v>
      </c>
      <c r="C113" s="55" t="s">
        <v>28</v>
      </c>
      <c r="D113" s="55" t="s">
        <v>29</v>
      </c>
      <c r="E113" s="55" t="s">
        <v>30</v>
      </c>
      <c r="F113" s="55" t="s">
        <v>31</v>
      </c>
      <c r="G113" s="55" t="s">
        <v>32</v>
      </c>
      <c r="H113" s="55" t="s">
        <v>33</v>
      </c>
      <c r="I113" s="55" t="s">
        <v>34</v>
      </c>
      <c r="J113" s="55" t="s">
        <v>35</v>
      </c>
      <c r="K113" s="55" t="s">
        <v>36</v>
      </c>
      <c r="L113" s="55" t="s">
        <v>32</v>
      </c>
      <c r="M113" s="55" t="s">
        <v>33</v>
      </c>
      <c r="N113" s="55" t="s">
        <v>34</v>
      </c>
      <c r="O113" s="55" t="s">
        <v>35</v>
      </c>
      <c r="P113" s="55" t="s">
        <v>36</v>
      </c>
    </row>
    <row r="114" spans="1:16">
      <c r="A114" s="93">
        <v>42387</v>
      </c>
      <c r="B114" s="55">
        <v>16.37</v>
      </c>
      <c r="C114" s="55">
        <v>16.190000000000001</v>
      </c>
      <c r="D114" s="55">
        <v>16.11</v>
      </c>
      <c r="E114" s="55">
        <v>16.04</v>
      </c>
      <c r="F114" s="55">
        <v>16.16</v>
      </c>
      <c r="G114" s="55">
        <v>16.010000000000002</v>
      </c>
      <c r="H114" s="55">
        <v>17.059999999999999</v>
      </c>
      <c r="I114" s="55">
        <v>17.11</v>
      </c>
      <c r="J114" s="55">
        <v>16.010000000000002</v>
      </c>
      <c r="K114" s="55">
        <v>16.16</v>
      </c>
      <c r="L114" s="55">
        <v>16.11</v>
      </c>
      <c r="M114" s="55">
        <v>16.16</v>
      </c>
      <c r="N114" s="55">
        <v>16.309999999999999</v>
      </c>
      <c r="O114" s="55">
        <v>16.11</v>
      </c>
      <c r="P114" s="55">
        <v>16.16</v>
      </c>
    </row>
    <row r="115" spans="1:16">
      <c r="A115" s="93">
        <v>42393</v>
      </c>
      <c r="B115" s="55">
        <v>17.05</v>
      </c>
      <c r="C115" s="55">
        <v>17.66</v>
      </c>
      <c r="D115" s="55">
        <v>16.89</v>
      </c>
      <c r="E115" s="55">
        <v>17.420000000000002</v>
      </c>
      <c r="F115" s="55">
        <v>17.399999999999999</v>
      </c>
      <c r="G115" s="55">
        <v>17.3</v>
      </c>
      <c r="H115" s="55">
        <v>18.5</v>
      </c>
      <c r="I115" s="55">
        <v>17.829999999999998</v>
      </c>
      <c r="J115" s="55">
        <v>17.84</v>
      </c>
      <c r="K115" s="55">
        <v>17.43</v>
      </c>
      <c r="L115" s="55">
        <v>17.3</v>
      </c>
      <c r="M115" s="55">
        <v>17.5</v>
      </c>
      <c r="N115" s="55">
        <v>17.829999999999998</v>
      </c>
      <c r="O115" s="55">
        <v>17.84</v>
      </c>
      <c r="P115" s="55">
        <v>17.43</v>
      </c>
    </row>
    <row r="116" spans="1:16">
      <c r="A116" s="93">
        <v>42399</v>
      </c>
      <c r="B116" s="55">
        <v>19.329999999999998</v>
      </c>
      <c r="C116" s="55">
        <v>19.54</v>
      </c>
      <c r="D116" s="55">
        <v>19.02</v>
      </c>
      <c r="E116" s="55">
        <v>18.39</v>
      </c>
      <c r="F116" s="55">
        <v>18.12</v>
      </c>
      <c r="G116" s="55">
        <v>18.510000000000002</v>
      </c>
      <c r="H116" s="55">
        <v>19.04</v>
      </c>
      <c r="I116" s="55">
        <v>18.36</v>
      </c>
      <c r="J116" s="55">
        <v>18.149999999999999</v>
      </c>
      <c r="K116" s="55">
        <v>19.91</v>
      </c>
      <c r="L116" s="55">
        <v>18.510000000000002</v>
      </c>
      <c r="M116" s="55">
        <v>18.940000000000001</v>
      </c>
      <c r="N116" s="55">
        <v>18.36</v>
      </c>
      <c r="O116" s="55">
        <v>19.43</v>
      </c>
      <c r="P116" s="55">
        <v>18.91</v>
      </c>
    </row>
    <row r="117" spans="1:16">
      <c r="A117" s="93">
        <v>42407</v>
      </c>
      <c r="B117" s="55">
        <v>20.3</v>
      </c>
      <c r="C117" s="55">
        <v>20.350000000000001</v>
      </c>
      <c r="D117" s="55">
        <v>21.42</v>
      </c>
      <c r="E117" s="55">
        <v>21.86</v>
      </c>
      <c r="F117" s="55">
        <v>20.43</v>
      </c>
      <c r="G117" s="55">
        <v>20.34</v>
      </c>
      <c r="H117" s="55">
        <v>21.65</v>
      </c>
      <c r="I117" s="55">
        <v>20.14</v>
      </c>
      <c r="J117" s="55">
        <v>21.12</v>
      </c>
      <c r="K117" s="55">
        <v>20.3</v>
      </c>
      <c r="L117" s="55">
        <v>21.34</v>
      </c>
      <c r="M117" s="55">
        <v>20.65</v>
      </c>
      <c r="N117" s="55">
        <v>21.14</v>
      </c>
      <c r="O117" s="55">
        <v>21.12</v>
      </c>
      <c r="P117" s="55">
        <v>21.3</v>
      </c>
    </row>
    <row r="118" spans="1:16">
      <c r="A118" s="93">
        <v>42421</v>
      </c>
      <c r="B118" s="55">
        <v>21.3</v>
      </c>
      <c r="C118" s="55">
        <v>21.35</v>
      </c>
      <c r="D118" s="55">
        <v>22.42</v>
      </c>
      <c r="E118" s="55">
        <v>22.86</v>
      </c>
      <c r="F118" s="55">
        <v>21.32</v>
      </c>
      <c r="G118" s="55">
        <v>22.34</v>
      </c>
      <c r="H118" s="55">
        <v>21.12</v>
      </c>
      <c r="I118" s="55">
        <v>21.32</v>
      </c>
      <c r="J118" s="55">
        <v>22.43</v>
      </c>
      <c r="K118" s="55">
        <v>20.85</v>
      </c>
      <c r="L118" s="55">
        <v>21.85</v>
      </c>
      <c r="M118" s="55">
        <v>21.12</v>
      </c>
      <c r="N118" s="55">
        <v>21.58</v>
      </c>
      <c r="O118" s="55">
        <v>22.54</v>
      </c>
      <c r="P118" s="55">
        <v>21.95</v>
      </c>
    </row>
    <row r="119" spans="1:16">
      <c r="A119" s="93">
        <v>42435</v>
      </c>
      <c r="B119" s="55">
        <v>22.32</v>
      </c>
      <c r="C119" s="55">
        <v>22.85</v>
      </c>
      <c r="D119" s="55">
        <v>22.32</v>
      </c>
      <c r="E119" s="55">
        <v>22.94</v>
      </c>
      <c r="F119" s="55">
        <v>22.54</v>
      </c>
      <c r="G119" s="55">
        <v>22.95</v>
      </c>
      <c r="H119" s="55">
        <v>22.68</v>
      </c>
      <c r="I119" s="55">
        <v>22.69</v>
      </c>
      <c r="J119" s="55">
        <v>22.49</v>
      </c>
      <c r="K119" s="55">
        <v>22.59</v>
      </c>
      <c r="L119" s="55">
        <v>22.11</v>
      </c>
      <c r="M119" s="55">
        <v>22.38</v>
      </c>
      <c r="N119" s="55">
        <v>22.12</v>
      </c>
      <c r="O119" s="55">
        <v>22.64</v>
      </c>
      <c r="P119" s="55">
        <v>22.43</v>
      </c>
    </row>
    <row r="120" spans="1:16">
      <c r="A120" s="93">
        <v>42449</v>
      </c>
      <c r="B120" s="55">
        <v>22.89</v>
      </c>
      <c r="C120" s="55">
        <v>22.59</v>
      </c>
      <c r="D120" s="55">
        <v>22.46</v>
      </c>
      <c r="E120" s="55">
        <v>22.8</v>
      </c>
      <c r="F120" s="55">
        <v>22.54</v>
      </c>
      <c r="G120" s="55">
        <v>22.53</v>
      </c>
      <c r="H120" s="55">
        <v>22.39</v>
      </c>
      <c r="I120" s="55">
        <v>22.54</v>
      </c>
      <c r="J120" s="55">
        <v>22.55</v>
      </c>
      <c r="K120" s="55">
        <v>22.69</v>
      </c>
      <c r="L120" s="55">
        <v>22.53</v>
      </c>
      <c r="M120" s="55">
        <v>22.39</v>
      </c>
      <c r="N120" s="55">
        <v>22.42</v>
      </c>
      <c r="O120" s="55">
        <v>21.55</v>
      </c>
      <c r="P120" s="55">
        <v>22.6</v>
      </c>
    </row>
    <row r="121" spans="1:16">
      <c r="A121" s="93">
        <v>42465</v>
      </c>
      <c r="B121" s="55">
        <v>25.19</v>
      </c>
      <c r="C121" s="55">
        <v>25.14</v>
      </c>
      <c r="D121" s="55">
        <v>22.55</v>
      </c>
      <c r="E121" s="55">
        <v>25.61</v>
      </c>
      <c r="F121" s="55">
        <v>25.34</v>
      </c>
      <c r="G121" s="55">
        <v>22.93</v>
      </c>
      <c r="H121" s="55">
        <v>22.1</v>
      </c>
      <c r="I121" s="55">
        <v>22.46</v>
      </c>
      <c r="J121" s="55">
        <v>22.63</v>
      </c>
      <c r="K121" s="55">
        <v>20.149999999999999</v>
      </c>
      <c r="L121" s="55">
        <v>25.93</v>
      </c>
      <c r="M121" s="55">
        <v>25.8</v>
      </c>
      <c r="N121" s="55">
        <v>22.46</v>
      </c>
      <c r="O121" s="55">
        <v>22.63</v>
      </c>
      <c r="P121" s="55">
        <v>21.34</v>
      </c>
    </row>
    <row r="122" spans="1:16">
      <c r="A122" s="93">
        <v>42472</v>
      </c>
      <c r="B122" s="55">
        <v>23.19</v>
      </c>
      <c r="C122" s="55">
        <v>24.84</v>
      </c>
      <c r="D122" s="55">
        <v>21.54</v>
      </c>
      <c r="E122" s="55">
        <v>23.61</v>
      </c>
      <c r="F122" s="55">
        <v>24.34</v>
      </c>
      <c r="G122" s="55">
        <v>24.93</v>
      </c>
      <c r="H122" s="55">
        <v>25.8</v>
      </c>
      <c r="I122" s="55">
        <v>22.46</v>
      </c>
      <c r="J122" s="55">
        <v>25.63</v>
      </c>
      <c r="K122" s="55">
        <v>20.149999999999999</v>
      </c>
      <c r="L122" s="55">
        <v>24.93</v>
      </c>
      <c r="M122" s="55">
        <v>24.8</v>
      </c>
      <c r="N122" s="55">
        <v>22.46</v>
      </c>
      <c r="O122" s="55">
        <v>23.63</v>
      </c>
      <c r="P122" s="55">
        <v>22.378461538461501</v>
      </c>
    </row>
    <row r="123" spans="1:16">
      <c r="A123" s="93">
        <v>42477</v>
      </c>
      <c r="B123" s="55">
        <v>27.33</v>
      </c>
      <c r="C123" s="55">
        <v>26.82</v>
      </c>
      <c r="D123" s="55">
        <v>20.02</v>
      </c>
      <c r="E123" s="55">
        <v>27.31</v>
      </c>
      <c r="F123" s="55">
        <v>25.14</v>
      </c>
      <c r="G123" s="55">
        <v>21.11</v>
      </c>
      <c r="H123" s="55">
        <v>27.61</v>
      </c>
      <c r="I123" s="55">
        <v>26.15</v>
      </c>
      <c r="J123" s="55">
        <v>21.63</v>
      </c>
      <c r="K123" s="55">
        <v>20.02</v>
      </c>
      <c r="L123" s="55">
        <v>21.11</v>
      </c>
      <c r="M123" s="55">
        <v>27.61</v>
      </c>
      <c r="N123" s="55">
        <v>26.95</v>
      </c>
      <c r="O123" s="55">
        <v>21.63</v>
      </c>
      <c r="P123" s="55">
        <v>22.112967032966999</v>
      </c>
    </row>
    <row r="124" spans="1:16">
      <c r="A124" s="93">
        <v>42484</v>
      </c>
      <c r="B124" s="55">
        <v>27.33</v>
      </c>
      <c r="C124" s="55">
        <v>26.12</v>
      </c>
      <c r="D124" s="55">
        <v>20.94</v>
      </c>
      <c r="E124" s="55">
        <v>27.31</v>
      </c>
      <c r="F124" s="55">
        <v>25.14</v>
      </c>
      <c r="G124" s="55">
        <v>21.11</v>
      </c>
      <c r="H124" s="55">
        <v>27.61</v>
      </c>
      <c r="I124" s="55">
        <v>26.15</v>
      </c>
      <c r="J124" s="55">
        <v>21.63</v>
      </c>
      <c r="K124" s="55">
        <v>20.94</v>
      </c>
      <c r="L124" s="55">
        <v>21.11</v>
      </c>
      <c r="M124" s="55">
        <v>27.61</v>
      </c>
      <c r="N124" s="55">
        <v>26.95</v>
      </c>
      <c r="O124" s="55">
        <v>21.63</v>
      </c>
      <c r="P124" s="55">
        <v>22.1581318681319</v>
      </c>
    </row>
    <row r="125" spans="1:16">
      <c r="A125" s="93">
        <v>42491</v>
      </c>
      <c r="B125" s="55">
        <v>21.12</v>
      </c>
      <c r="C125" s="55">
        <v>27.53</v>
      </c>
      <c r="D125" s="55">
        <v>21.38</v>
      </c>
      <c r="E125" s="55">
        <v>21.12</v>
      </c>
      <c r="F125" s="55">
        <v>25.91</v>
      </c>
      <c r="G125" s="55">
        <v>21.17</v>
      </c>
      <c r="H125" s="55">
        <v>21.35</v>
      </c>
      <c r="I125" s="55">
        <v>21.37</v>
      </c>
      <c r="J125" s="55">
        <v>21.3</v>
      </c>
      <c r="K125" s="55">
        <v>21.38</v>
      </c>
      <c r="L125" s="55">
        <v>21.17</v>
      </c>
      <c r="M125" s="55">
        <v>21.35</v>
      </c>
      <c r="N125" s="55">
        <v>21.37</v>
      </c>
      <c r="O125" s="55">
        <v>21.3</v>
      </c>
      <c r="P125" s="55">
        <v>22.154395604395599</v>
      </c>
    </row>
    <row r="126" spans="1:16">
      <c r="A126" s="93">
        <v>42498</v>
      </c>
      <c r="B126" s="55">
        <v>28.82</v>
      </c>
      <c r="C126" s="55">
        <v>27.53</v>
      </c>
      <c r="D126" s="55">
        <v>22.41</v>
      </c>
      <c r="E126" s="55">
        <v>21.12</v>
      </c>
      <c r="F126" s="55">
        <v>25.91</v>
      </c>
      <c r="G126" s="55">
        <v>21.17</v>
      </c>
      <c r="H126" s="55">
        <v>21.35</v>
      </c>
      <c r="I126" s="55">
        <v>21.37</v>
      </c>
      <c r="J126" s="55">
        <v>21.3</v>
      </c>
      <c r="K126" s="55">
        <v>22.48</v>
      </c>
      <c r="L126" s="55">
        <v>21.17</v>
      </c>
      <c r="M126" s="55">
        <v>21.35</v>
      </c>
      <c r="N126" s="55">
        <v>21.37</v>
      </c>
      <c r="O126" s="55">
        <v>21.3</v>
      </c>
      <c r="P126" s="55">
        <v>22.3692307692308</v>
      </c>
    </row>
    <row r="127" spans="1:16">
      <c r="A127" s="93">
        <v>42505</v>
      </c>
      <c r="B127" s="55">
        <v>21.46</v>
      </c>
      <c r="C127" s="55">
        <v>21.94</v>
      </c>
      <c r="D127" s="55">
        <v>21.13</v>
      </c>
      <c r="E127" s="55">
        <v>21.39</v>
      </c>
      <c r="F127" s="55">
        <v>26.43</v>
      </c>
      <c r="G127" s="55">
        <v>20.350000000000001</v>
      </c>
      <c r="H127" s="55">
        <v>20.94</v>
      </c>
      <c r="I127" s="55">
        <v>29.62</v>
      </c>
      <c r="J127" s="55">
        <v>20.36</v>
      </c>
      <c r="K127" s="55">
        <v>21.87</v>
      </c>
      <c r="L127" s="55">
        <v>20.350000000000001</v>
      </c>
      <c r="M127" s="55">
        <v>20.94</v>
      </c>
      <c r="N127" s="55">
        <v>29.62</v>
      </c>
      <c r="O127" s="55">
        <v>20.36</v>
      </c>
      <c r="P127" s="55">
        <v>21.625824175824199</v>
      </c>
    </row>
    <row r="128" spans="1:16">
      <c r="A128" s="93">
        <v>42512</v>
      </c>
      <c r="B128" s="55">
        <v>21.46</v>
      </c>
      <c r="C128" s="55">
        <v>21.94</v>
      </c>
      <c r="D128" s="55">
        <v>21.35</v>
      </c>
      <c r="E128" s="55">
        <v>21.39</v>
      </c>
      <c r="F128" s="55">
        <v>26.43</v>
      </c>
      <c r="G128" s="55">
        <v>20.350000000000001</v>
      </c>
      <c r="H128" s="55">
        <v>20.94</v>
      </c>
      <c r="I128" s="55">
        <v>22.62</v>
      </c>
      <c r="J128" s="55">
        <v>20.36</v>
      </c>
      <c r="K128" s="55">
        <v>21.35</v>
      </c>
      <c r="L128" s="55">
        <v>20.350000000000001</v>
      </c>
      <c r="M128" s="55">
        <v>20.94</v>
      </c>
      <c r="N128" s="55">
        <v>22.62</v>
      </c>
      <c r="O128" s="55">
        <v>20.36</v>
      </c>
      <c r="P128" s="55">
        <v>21.3241758241758</v>
      </c>
    </row>
    <row r="129" spans="1:16">
      <c r="A129" s="93">
        <v>42519</v>
      </c>
      <c r="B129" s="55">
        <v>21.32</v>
      </c>
      <c r="C129" s="55">
        <v>21.17</v>
      </c>
      <c r="D129" s="55">
        <v>20.02</v>
      </c>
      <c r="E129" s="55">
        <v>21.46</v>
      </c>
      <c r="F129" s="55">
        <v>20.11</v>
      </c>
      <c r="G129" s="55">
        <v>20.05</v>
      </c>
      <c r="H129" s="55">
        <v>21.32</v>
      </c>
      <c r="I129" s="55">
        <v>21.35</v>
      </c>
      <c r="J129" s="55">
        <v>22.05</v>
      </c>
      <c r="K129" s="55">
        <v>20.02</v>
      </c>
      <c r="L129" s="55">
        <v>22.05</v>
      </c>
      <c r="M129" s="55">
        <v>21.32</v>
      </c>
      <c r="N129" s="55">
        <v>22.35</v>
      </c>
      <c r="O129" s="55">
        <v>21.05</v>
      </c>
      <c r="P129" s="55">
        <v>22.6636263736264</v>
      </c>
    </row>
    <row r="130" spans="1:16">
      <c r="A130" s="93">
        <v>42526</v>
      </c>
      <c r="B130" s="55">
        <v>22.32</v>
      </c>
      <c r="C130" s="55">
        <v>22.87</v>
      </c>
      <c r="D130" s="55">
        <v>21.35</v>
      </c>
      <c r="E130" s="55">
        <v>21.46</v>
      </c>
      <c r="F130" s="55">
        <v>22.11</v>
      </c>
      <c r="G130" s="55">
        <v>20.05</v>
      </c>
      <c r="H130" s="55">
        <v>21.32</v>
      </c>
      <c r="I130" s="55">
        <v>22.35</v>
      </c>
      <c r="J130" s="55">
        <v>21.05</v>
      </c>
      <c r="K130" s="55">
        <v>20.47</v>
      </c>
      <c r="L130" s="55">
        <v>20.05</v>
      </c>
      <c r="M130" s="55">
        <v>21.32</v>
      </c>
      <c r="N130" s="55">
        <v>22.35</v>
      </c>
      <c r="O130" s="55">
        <v>21.05</v>
      </c>
      <c r="P130" s="55">
        <v>22.546703296703299</v>
      </c>
    </row>
    <row r="131" spans="1:16">
      <c r="A131" s="93">
        <v>42533</v>
      </c>
      <c r="B131" s="55">
        <v>20.170000000000002</v>
      </c>
      <c r="C131" s="55">
        <v>21.32</v>
      </c>
      <c r="D131" s="55">
        <v>22.3</v>
      </c>
      <c r="E131" s="55">
        <v>22.32</v>
      </c>
      <c r="F131" s="55">
        <v>21.47</v>
      </c>
      <c r="G131" s="55">
        <v>21.02</v>
      </c>
      <c r="H131" s="55">
        <v>22.11</v>
      </c>
      <c r="I131" s="55">
        <v>20.14</v>
      </c>
      <c r="J131" s="55">
        <v>21</v>
      </c>
      <c r="K131" s="55">
        <v>21.37</v>
      </c>
      <c r="L131" s="55">
        <v>21.02</v>
      </c>
      <c r="M131" s="55">
        <v>22.11</v>
      </c>
      <c r="N131" s="55">
        <v>20.14</v>
      </c>
      <c r="O131" s="55">
        <v>21.65</v>
      </c>
      <c r="P131" s="55">
        <v>22.3417582417582</v>
      </c>
    </row>
    <row r="132" spans="1:16">
      <c r="A132" s="94">
        <v>42540</v>
      </c>
      <c r="B132" s="55">
        <v>22.45</v>
      </c>
      <c r="C132" s="55">
        <v>22.1</v>
      </c>
      <c r="D132" s="55">
        <v>21.05</v>
      </c>
      <c r="E132" s="55">
        <v>22.3</v>
      </c>
      <c r="F132" s="55">
        <v>21.12</v>
      </c>
      <c r="G132" s="55">
        <v>21.03</v>
      </c>
      <c r="H132" s="55">
        <v>21.35</v>
      </c>
      <c r="I132" s="55">
        <v>21.55</v>
      </c>
      <c r="J132" s="55">
        <v>22.11</v>
      </c>
      <c r="K132" s="55">
        <v>21.12</v>
      </c>
      <c r="L132" s="55">
        <v>22.03</v>
      </c>
      <c r="M132" s="55">
        <v>22.35</v>
      </c>
      <c r="N132" s="55">
        <v>22.55</v>
      </c>
      <c r="O132" s="55">
        <v>22.11</v>
      </c>
      <c r="P132" s="55">
        <v>22.647692307692299</v>
      </c>
    </row>
    <row r="133" spans="1:16">
      <c r="A133" s="93">
        <v>42547</v>
      </c>
      <c r="B133" s="55">
        <v>22.83</v>
      </c>
      <c r="C133" s="55">
        <v>22.94</v>
      </c>
      <c r="D133" s="55">
        <v>21.34</v>
      </c>
      <c r="E133" s="55">
        <v>21.1</v>
      </c>
      <c r="F133" s="55">
        <v>22.65</v>
      </c>
      <c r="G133" s="55">
        <v>21.15</v>
      </c>
      <c r="H133" s="55">
        <v>22.61</v>
      </c>
      <c r="I133" s="55">
        <v>21.12</v>
      </c>
      <c r="J133" s="55">
        <v>22.12</v>
      </c>
      <c r="K133" s="55">
        <v>21.11</v>
      </c>
      <c r="L133" s="55">
        <v>21.15</v>
      </c>
      <c r="M133" s="55">
        <v>22.68</v>
      </c>
      <c r="N133" s="55">
        <v>21.12</v>
      </c>
      <c r="O133" s="55">
        <v>22.82</v>
      </c>
      <c r="P133" s="55">
        <v>22.947582417582399</v>
      </c>
    </row>
    <row r="134" spans="1:16">
      <c r="A134" s="93">
        <v>42555</v>
      </c>
      <c r="B134" s="55">
        <v>22.44</v>
      </c>
      <c r="C134" s="55">
        <v>22.35</v>
      </c>
      <c r="D134" s="55">
        <v>25.62</v>
      </c>
      <c r="E134" s="55">
        <v>22.39</v>
      </c>
      <c r="F134" s="55">
        <v>25.65</v>
      </c>
      <c r="G134" s="55">
        <v>26.44</v>
      </c>
      <c r="H134" s="55">
        <v>22.32</v>
      </c>
      <c r="I134" s="55">
        <v>22.32</v>
      </c>
      <c r="J134" s="55">
        <v>25.4</v>
      </c>
      <c r="K134" s="55">
        <v>22.9</v>
      </c>
      <c r="L134" s="55">
        <v>22.44</v>
      </c>
      <c r="M134" s="55">
        <v>22.32</v>
      </c>
      <c r="N134" s="55">
        <v>21.32</v>
      </c>
      <c r="O134" s="55">
        <v>21.4</v>
      </c>
      <c r="P134" s="55">
        <v>20.9</v>
      </c>
    </row>
    <row r="135" spans="1:16">
      <c r="A135" s="93">
        <v>42562</v>
      </c>
      <c r="B135" s="55">
        <v>21.1</v>
      </c>
      <c r="C135" s="55">
        <v>22.31</v>
      </c>
      <c r="D135" s="55">
        <v>21.93</v>
      </c>
      <c r="E135" s="55">
        <v>22.42</v>
      </c>
      <c r="F135" s="55">
        <v>22.9</v>
      </c>
      <c r="G135" s="55">
        <v>25.4</v>
      </c>
      <c r="H135" s="55">
        <v>22.9</v>
      </c>
      <c r="I135" s="55">
        <v>25.3</v>
      </c>
      <c r="J135" s="55">
        <v>22.9</v>
      </c>
      <c r="K135" s="55">
        <v>25.35</v>
      </c>
      <c r="L135" s="55">
        <v>22.4</v>
      </c>
      <c r="M135" s="55">
        <v>22.9</v>
      </c>
      <c r="N135" s="55">
        <v>25.3</v>
      </c>
      <c r="O135" s="55">
        <v>22.9</v>
      </c>
      <c r="P135" s="55">
        <v>25.35</v>
      </c>
    </row>
    <row r="136" spans="1:16">
      <c r="A136" s="93">
        <v>42569</v>
      </c>
      <c r="B136" s="55">
        <v>21.32</v>
      </c>
      <c r="C136" s="55">
        <v>22.36</v>
      </c>
      <c r="D136" s="55">
        <v>22.141999999999999</v>
      </c>
      <c r="E136" s="55">
        <v>22.18</v>
      </c>
      <c r="F136" s="55">
        <v>22.31</v>
      </c>
      <c r="G136" s="55">
        <v>22.33</v>
      </c>
      <c r="H136" s="55">
        <v>21.58</v>
      </c>
      <c r="I136" s="55">
        <v>22.5</v>
      </c>
      <c r="J136" s="55">
        <v>21.1</v>
      </c>
      <c r="K136" s="55">
        <v>22.3</v>
      </c>
      <c r="L136" s="55">
        <v>22.33</v>
      </c>
      <c r="M136" s="55">
        <v>22.58</v>
      </c>
      <c r="N136" s="55">
        <v>22.5</v>
      </c>
      <c r="O136" s="55">
        <v>22.5</v>
      </c>
      <c r="P136" s="55">
        <v>22.3</v>
      </c>
    </row>
    <row r="137" spans="1:16">
      <c r="A137" s="93">
        <v>42576</v>
      </c>
      <c r="B137" s="55">
        <v>22.65</v>
      </c>
      <c r="C137" s="55">
        <v>22.4</v>
      </c>
      <c r="D137" s="55">
        <v>22.1</v>
      </c>
      <c r="E137" s="55">
        <v>22.93</v>
      </c>
      <c r="F137" s="55">
        <v>22.13</v>
      </c>
      <c r="G137" s="55">
        <v>21.14</v>
      </c>
      <c r="H137" s="55">
        <v>22.19</v>
      </c>
      <c r="I137" s="55">
        <v>22.34</v>
      </c>
      <c r="J137" s="55">
        <v>22.12</v>
      </c>
      <c r="K137" s="55">
        <v>22.12</v>
      </c>
      <c r="L137" s="55">
        <v>21.14</v>
      </c>
      <c r="M137" s="55">
        <v>22.19</v>
      </c>
      <c r="N137" s="55">
        <v>22.34</v>
      </c>
      <c r="O137" s="55">
        <v>21.07</v>
      </c>
      <c r="P137" s="55">
        <v>22.12</v>
      </c>
    </row>
    <row r="138" spans="1:16">
      <c r="A138" s="93">
        <v>42584</v>
      </c>
      <c r="B138" s="55">
        <v>22.13</v>
      </c>
      <c r="C138" s="55">
        <v>26.86</v>
      </c>
      <c r="D138" s="55">
        <v>22.85</v>
      </c>
      <c r="E138" s="55">
        <v>21.31</v>
      </c>
      <c r="F138" s="55">
        <v>21.1</v>
      </c>
      <c r="G138" s="55">
        <v>21.69</v>
      </c>
      <c r="H138" s="55">
        <v>30.3</v>
      </c>
      <c r="I138" s="55">
        <v>26.32</v>
      </c>
      <c r="J138" s="55">
        <v>21.33</v>
      </c>
      <c r="K138" s="55">
        <v>22.13</v>
      </c>
      <c r="L138" s="55">
        <v>21.69</v>
      </c>
      <c r="M138" s="55">
        <v>30.3</v>
      </c>
      <c r="N138" s="55">
        <v>26.32</v>
      </c>
      <c r="O138" s="55">
        <v>21.33</v>
      </c>
      <c r="P138" s="55">
        <v>22.13</v>
      </c>
    </row>
    <row r="139" spans="1:16">
      <c r="A139" s="93">
        <v>42591</v>
      </c>
      <c r="B139" s="55">
        <v>21.11</v>
      </c>
      <c r="C139" s="55">
        <v>21.43</v>
      </c>
      <c r="D139" s="55">
        <v>22.03</v>
      </c>
      <c r="E139" s="55">
        <v>25.3</v>
      </c>
      <c r="F139" s="55">
        <v>22.31</v>
      </c>
      <c r="G139" s="55">
        <v>21.32</v>
      </c>
      <c r="H139" s="55">
        <v>22.54</v>
      </c>
      <c r="I139" s="55">
        <v>22.36</v>
      </c>
      <c r="J139" s="55">
        <v>22.36</v>
      </c>
      <c r="K139" s="55">
        <v>22.51</v>
      </c>
      <c r="L139" s="55">
        <v>21.32</v>
      </c>
      <c r="M139" s="55">
        <v>22.54</v>
      </c>
      <c r="N139" s="55">
        <v>22.36</v>
      </c>
      <c r="O139" s="55">
        <v>22.36</v>
      </c>
      <c r="P139" s="55">
        <v>22.51</v>
      </c>
    </row>
    <row r="140" spans="1:16">
      <c r="A140" s="93">
        <v>42598</v>
      </c>
      <c r="B140" s="55">
        <v>22.33</v>
      </c>
      <c r="C140" s="55">
        <v>21.1</v>
      </c>
      <c r="D140" s="55">
        <v>22.33</v>
      </c>
      <c r="E140" s="55">
        <v>20.32</v>
      </c>
      <c r="F140" s="55">
        <v>22.3</v>
      </c>
      <c r="G140" s="55">
        <v>21.95</v>
      </c>
      <c r="H140" s="55">
        <v>21.97</v>
      </c>
      <c r="I140" s="55">
        <v>22.92</v>
      </c>
      <c r="J140" s="55">
        <v>21.95</v>
      </c>
      <c r="K140" s="55">
        <v>21.54</v>
      </c>
      <c r="L140" s="55">
        <v>21.95</v>
      </c>
      <c r="M140" s="55">
        <v>21.97</v>
      </c>
      <c r="N140" s="55">
        <v>22.92</v>
      </c>
      <c r="O140" s="55">
        <v>21.95</v>
      </c>
      <c r="P140" s="55">
        <v>21.54</v>
      </c>
    </row>
    <row r="141" spans="1:16">
      <c r="A141" s="93">
        <v>42605</v>
      </c>
      <c r="B141" s="55">
        <v>29.16</v>
      </c>
      <c r="C141" s="55">
        <v>21.5</v>
      </c>
      <c r="D141" s="55">
        <v>30.67</v>
      </c>
      <c r="E141" s="55">
        <v>21.4</v>
      </c>
      <c r="F141" s="55">
        <v>22.12</v>
      </c>
      <c r="G141" s="55">
        <v>22.37</v>
      </c>
      <c r="H141" s="55">
        <v>21.1</v>
      </c>
      <c r="I141" s="55">
        <v>21.3</v>
      </c>
      <c r="J141" s="55">
        <v>21.37</v>
      </c>
      <c r="K141" s="55">
        <v>22.12</v>
      </c>
      <c r="L141" s="55">
        <v>22.37</v>
      </c>
      <c r="M141" s="55">
        <v>21.1</v>
      </c>
      <c r="N141" s="55">
        <v>21.3</v>
      </c>
      <c r="O141" s="55">
        <v>21.37</v>
      </c>
      <c r="P141" s="55">
        <v>22.12</v>
      </c>
    </row>
    <row r="142" spans="1:16">
      <c r="A142" s="93">
        <v>42612</v>
      </c>
      <c r="B142" s="55">
        <v>22.36</v>
      </c>
      <c r="C142" s="55">
        <v>30.33</v>
      </c>
      <c r="D142" s="55">
        <v>22.14</v>
      </c>
      <c r="E142" s="55">
        <v>25.82</v>
      </c>
      <c r="F142" s="55">
        <v>20.37</v>
      </c>
      <c r="G142" s="55">
        <v>22.11</v>
      </c>
      <c r="H142" s="55">
        <v>30.62</v>
      </c>
      <c r="I142" s="55">
        <v>22.52</v>
      </c>
      <c r="J142" s="55">
        <v>21.12</v>
      </c>
      <c r="K142" s="55">
        <v>22.32</v>
      </c>
      <c r="L142" s="55">
        <v>22.11</v>
      </c>
      <c r="M142" s="55">
        <v>30.62</v>
      </c>
      <c r="N142" s="55">
        <v>22.52</v>
      </c>
      <c r="O142" s="55">
        <v>21.12</v>
      </c>
      <c r="P142" s="55">
        <v>22.32</v>
      </c>
    </row>
    <row r="143" spans="1:16">
      <c r="A143" s="93">
        <v>42619</v>
      </c>
      <c r="B143" s="55">
        <v>22.11</v>
      </c>
      <c r="C143" s="55">
        <v>22.42</v>
      </c>
      <c r="D143" s="55">
        <v>22.33</v>
      </c>
      <c r="E143" s="55">
        <v>22.52</v>
      </c>
      <c r="F143" s="55">
        <v>22.67</v>
      </c>
      <c r="G143" s="55">
        <v>22.9</v>
      </c>
      <c r="H143" s="55">
        <v>21.12</v>
      </c>
      <c r="I143" s="55">
        <v>22.12</v>
      </c>
      <c r="J143" s="55">
        <v>22.35</v>
      </c>
      <c r="K143" s="55">
        <v>20.32</v>
      </c>
      <c r="L143" s="55">
        <v>22.9</v>
      </c>
      <c r="M143" s="55">
        <v>21.12</v>
      </c>
      <c r="N143" s="55">
        <v>22.12</v>
      </c>
      <c r="O143" s="55">
        <v>22.35</v>
      </c>
      <c r="P143" s="55">
        <v>20.32</v>
      </c>
    </row>
    <row r="144" spans="1:16">
      <c r="A144" s="93">
        <v>42626</v>
      </c>
      <c r="B144" s="55">
        <v>22.92</v>
      </c>
      <c r="C144" s="55">
        <v>21.41</v>
      </c>
      <c r="D144" s="55">
        <v>21.94</v>
      </c>
      <c r="E144" s="55">
        <v>20.420000000000002</v>
      </c>
      <c r="F144" s="55">
        <v>22.41</v>
      </c>
      <c r="G144" s="55">
        <v>22.55</v>
      </c>
      <c r="H144" s="55">
        <v>21.34</v>
      </c>
      <c r="I144" s="55">
        <v>26.3</v>
      </c>
      <c r="J144" s="55">
        <v>22.3</v>
      </c>
      <c r="K144" s="55">
        <v>20.95</v>
      </c>
      <c r="L144" s="55">
        <v>22.55</v>
      </c>
      <c r="M144" s="55">
        <v>21.34</v>
      </c>
      <c r="N144" s="55">
        <v>26.3</v>
      </c>
      <c r="O144" s="55">
        <v>22.3</v>
      </c>
      <c r="P144" s="55">
        <v>20.059999999999999</v>
      </c>
    </row>
    <row r="145" spans="1:16">
      <c r="A145" s="93">
        <v>42633</v>
      </c>
      <c r="B145" s="55">
        <v>21.96</v>
      </c>
      <c r="C145" s="55">
        <v>22.32</v>
      </c>
      <c r="D145" s="55">
        <v>21.41</v>
      </c>
      <c r="E145" s="55">
        <v>21.38</v>
      </c>
      <c r="F145" s="55">
        <v>21.45</v>
      </c>
      <c r="G145" s="55">
        <v>20.309999999999999</v>
      </c>
      <c r="H145" s="55">
        <v>21.51</v>
      </c>
      <c r="I145" s="55">
        <v>22.11</v>
      </c>
      <c r="J145" s="55">
        <v>22.98</v>
      </c>
      <c r="K145" s="55">
        <v>25.82</v>
      </c>
      <c r="L145" s="55">
        <v>20.309999999999999</v>
      </c>
      <c r="M145" s="55">
        <v>21.51</v>
      </c>
      <c r="N145" s="55">
        <v>22.11</v>
      </c>
      <c r="O145" s="55">
        <v>22.98</v>
      </c>
      <c r="P145" s="55">
        <v>25.82</v>
      </c>
    </row>
    <row r="146" spans="1:16">
      <c r="A146" s="93">
        <v>42640</v>
      </c>
      <c r="B146" s="55">
        <v>21.37</v>
      </c>
      <c r="C146" s="55">
        <v>22.31</v>
      </c>
      <c r="D146" s="55">
        <v>22.37</v>
      </c>
      <c r="E146" s="55">
        <v>21.82</v>
      </c>
      <c r="F146" s="55">
        <v>21.366</v>
      </c>
      <c r="G146" s="55">
        <v>22.18</v>
      </c>
      <c r="H146" s="55">
        <v>21.42</v>
      </c>
      <c r="I146" s="55">
        <v>22.37</v>
      </c>
      <c r="J146" s="55">
        <v>22.42</v>
      </c>
      <c r="K146" s="55">
        <v>25.65</v>
      </c>
      <c r="L146" s="55">
        <v>22.18</v>
      </c>
      <c r="M146" s="55">
        <v>21.42</v>
      </c>
      <c r="N146" s="55">
        <v>22.37</v>
      </c>
      <c r="O146" s="55">
        <v>22.42</v>
      </c>
      <c r="P146" s="55">
        <v>25.65</v>
      </c>
    </row>
    <row r="147" spans="1:16">
      <c r="A147" s="93">
        <v>42647</v>
      </c>
      <c r="B147" s="55">
        <v>21.02</v>
      </c>
      <c r="C147" s="55">
        <v>21.12</v>
      </c>
      <c r="D147" s="55">
        <v>21.51</v>
      </c>
      <c r="E147" s="55">
        <v>21.83</v>
      </c>
      <c r="F147" s="55">
        <v>21.64</v>
      </c>
      <c r="G147" s="55">
        <v>25.36</v>
      </c>
      <c r="H147" s="55">
        <v>22.95</v>
      </c>
      <c r="I147" s="55">
        <v>21.52</v>
      </c>
      <c r="J147" s="55">
        <v>22.36</v>
      </c>
      <c r="K147" s="55">
        <v>20.170000000000002</v>
      </c>
      <c r="L147" s="55">
        <v>25.36</v>
      </c>
      <c r="M147" s="55">
        <v>22.95</v>
      </c>
      <c r="N147" s="55">
        <v>21.52</v>
      </c>
      <c r="O147" s="55">
        <v>22.36</v>
      </c>
      <c r="P147" s="55">
        <v>20.170000000000002</v>
      </c>
    </row>
    <row r="148" spans="1:16">
      <c r="A148" s="93">
        <v>42654</v>
      </c>
      <c r="B148" s="55">
        <v>25.12</v>
      </c>
      <c r="C148" s="55">
        <v>21.32</v>
      </c>
      <c r="D148" s="55">
        <v>21.32</v>
      </c>
      <c r="E148" s="55">
        <v>21.54</v>
      </c>
      <c r="F148" s="55">
        <v>22.31</v>
      </c>
      <c r="G148" s="55">
        <v>25.49</v>
      </c>
      <c r="H148" s="55">
        <v>22.37</v>
      </c>
      <c r="I148" s="55">
        <v>21.36</v>
      </c>
      <c r="J148" s="55">
        <v>22.52</v>
      </c>
      <c r="K148" s="55">
        <v>21.42</v>
      </c>
      <c r="L148" s="55">
        <v>25.49</v>
      </c>
      <c r="M148" s="55">
        <v>22.37</v>
      </c>
      <c r="N148" s="55">
        <v>21.36</v>
      </c>
      <c r="O148" s="55">
        <v>22.52</v>
      </c>
      <c r="P148" s="55">
        <v>21.42</v>
      </c>
    </row>
    <row r="149" spans="1:16">
      <c r="A149" s="93">
        <v>42661</v>
      </c>
      <c r="B149" s="55">
        <v>21.58</v>
      </c>
      <c r="C149" s="55">
        <v>22.36</v>
      </c>
      <c r="D149" s="55">
        <v>20.36</v>
      </c>
      <c r="E149" s="55">
        <v>21.58</v>
      </c>
      <c r="F149" s="55">
        <v>21.11</v>
      </c>
      <c r="G149" s="55">
        <v>26.52</v>
      </c>
      <c r="H149" s="55">
        <v>22.49</v>
      </c>
      <c r="I149" s="55">
        <v>22.47</v>
      </c>
      <c r="J149" s="55">
        <v>21.34</v>
      </c>
      <c r="K149" s="55">
        <v>22.37</v>
      </c>
      <c r="L149" s="55">
        <v>26.52</v>
      </c>
      <c r="M149" s="55">
        <v>22.49</v>
      </c>
      <c r="N149" s="55">
        <v>22.47</v>
      </c>
      <c r="O149" s="55">
        <v>21.34</v>
      </c>
      <c r="P149" s="55">
        <v>22.37</v>
      </c>
    </row>
    <row r="150" spans="1:16">
      <c r="A150" s="93">
        <v>42668</v>
      </c>
      <c r="B150" s="55">
        <v>21.3</v>
      </c>
      <c r="C150" s="55">
        <v>22.91</v>
      </c>
      <c r="D150" s="55">
        <v>20.85</v>
      </c>
      <c r="E150" s="55">
        <v>22.64</v>
      </c>
      <c r="F150" s="55">
        <v>22.43</v>
      </c>
      <c r="G150" s="55">
        <v>26.3</v>
      </c>
      <c r="H150" s="55">
        <v>22.37</v>
      </c>
      <c r="I150" s="55">
        <v>22.35</v>
      </c>
      <c r="J150" s="55">
        <v>22.8</v>
      </c>
      <c r="K150" s="55">
        <v>22.59</v>
      </c>
      <c r="L150" s="55">
        <v>26.3</v>
      </c>
      <c r="M150" s="55">
        <v>22.37</v>
      </c>
      <c r="N150" s="55">
        <v>22.35</v>
      </c>
      <c r="O150" s="55">
        <v>22.8</v>
      </c>
      <c r="P150" s="55">
        <v>22.59</v>
      </c>
    </row>
    <row r="151" spans="1:16">
      <c r="A151" s="93">
        <v>42677</v>
      </c>
      <c r="B151" s="55">
        <v>22.11</v>
      </c>
      <c r="C151" s="55">
        <v>22.43</v>
      </c>
      <c r="D151" s="55">
        <v>25.03</v>
      </c>
      <c r="E151" s="55">
        <v>22.3</v>
      </c>
      <c r="F151" s="55">
        <v>22.31</v>
      </c>
      <c r="G151" s="55">
        <v>25.32</v>
      </c>
      <c r="H151" s="55">
        <v>25.54</v>
      </c>
      <c r="I151" s="55">
        <v>22.36</v>
      </c>
      <c r="J151" s="55">
        <v>25.36</v>
      </c>
      <c r="K151" s="55">
        <v>22.51</v>
      </c>
      <c r="L151" s="55">
        <v>25.32</v>
      </c>
      <c r="M151" s="55">
        <v>22.54</v>
      </c>
      <c r="N151" s="55">
        <v>22.36</v>
      </c>
      <c r="O151" s="55">
        <v>22.36</v>
      </c>
      <c r="P151" s="55">
        <v>25.51</v>
      </c>
    </row>
    <row r="152" spans="1:16">
      <c r="A152" s="93">
        <v>42684</v>
      </c>
      <c r="B152" s="55">
        <v>25.33</v>
      </c>
      <c r="C152" s="55">
        <v>25.1</v>
      </c>
      <c r="D152" s="55">
        <v>22.33</v>
      </c>
      <c r="E152" s="55">
        <v>25.32</v>
      </c>
      <c r="F152" s="55">
        <v>22.3</v>
      </c>
      <c r="G152" s="55">
        <v>25.95</v>
      </c>
      <c r="H152" s="55">
        <v>25.97</v>
      </c>
      <c r="I152" s="55">
        <v>22.92</v>
      </c>
      <c r="J152" s="55">
        <v>25.95</v>
      </c>
      <c r="K152" s="55">
        <v>25.54</v>
      </c>
      <c r="L152" s="55">
        <v>22.95</v>
      </c>
      <c r="M152" s="55">
        <v>22.97</v>
      </c>
      <c r="N152" s="55">
        <v>22.92</v>
      </c>
      <c r="O152" s="55">
        <v>25.95</v>
      </c>
      <c r="P152" s="55">
        <v>25.54</v>
      </c>
    </row>
    <row r="153" spans="1:16">
      <c r="A153" s="93">
        <v>42691</v>
      </c>
      <c r="B153" s="55">
        <v>29.16</v>
      </c>
      <c r="C153" s="55">
        <v>25.5</v>
      </c>
      <c r="D153" s="55">
        <v>30.67</v>
      </c>
      <c r="E153" s="55">
        <v>25.4</v>
      </c>
      <c r="F153" s="55">
        <v>22.12</v>
      </c>
      <c r="G153" s="55">
        <v>22.37</v>
      </c>
      <c r="H153" s="55">
        <v>25.1</v>
      </c>
      <c r="I153" s="55">
        <v>22.3</v>
      </c>
      <c r="J153" s="55">
        <v>25.37</v>
      </c>
      <c r="K153" s="55">
        <v>22.12</v>
      </c>
      <c r="L153" s="55">
        <v>22.37</v>
      </c>
      <c r="M153" s="55">
        <v>22.1</v>
      </c>
      <c r="N153" s="55">
        <v>25.3</v>
      </c>
      <c r="O153" s="55">
        <v>25.37</v>
      </c>
      <c r="P153" s="55">
        <v>25.12</v>
      </c>
    </row>
    <row r="154" spans="1:16">
      <c r="A154" s="93">
        <v>42699</v>
      </c>
      <c r="B154" s="55">
        <v>22.36</v>
      </c>
      <c r="C154" s="55">
        <v>30.33</v>
      </c>
      <c r="D154" s="55">
        <v>22.14</v>
      </c>
      <c r="E154" s="55">
        <v>25.82</v>
      </c>
      <c r="F154" s="55">
        <v>20.37</v>
      </c>
      <c r="G154" s="55">
        <v>22.11</v>
      </c>
      <c r="H154" s="55">
        <v>30.62</v>
      </c>
      <c r="I154" s="55">
        <v>22.52</v>
      </c>
      <c r="J154" s="55">
        <v>22.12</v>
      </c>
      <c r="K154" s="55">
        <v>22.32</v>
      </c>
      <c r="L154" s="55">
        <v>22.11</v>
      </c>
      <c r="M154" s="55">
        <v>30.62</v>
      </c>
      <c r="N154" s="55">
        <v>22.52</v>
      </c>
      <c r="O154" s="55">
        <v>22.12</v>
      </c>
      <c r="P154" s="55">
        <v>22.32</v>
      </c>
    </row>
    <row r="155" spans="1:16">
      <c r="A155" s="93">
        <v>42708</v>
      </c>
      <c r="B155" s="55">
        <v>22.11</v>
      </c>
      <c r="C155" s="55">
        <v>31.42</v>
      </c>
      <c r="D155" s="55">
        <v>31.33</v>
      </c>
      <c r="E155" s="55">
        <v>30.52</v>
      </c>
      <c r="F155" s="55">
        <v>22.67</v>
      </c>
      <c r="G155" s="55">
        <v>22.9</v>
      </c>
      <c r="H155" s="55">
        <v>22.12</v>
      </c>
      <c r="I155" s="55">
        <v>25.12</v>
      </c>
      <c r="J155" s="55">
        <v>22.35</v>
      </c>
      <c r="K155" s="55">
        <v>20.32</v>
      </c>
      <c r="L155" s="55">
        <v>22.9</v>
      </c>
      <c r="M155" s="55">
        <v>21.12</v>
      </c>
      <c r="N155" s="55">
        <v>25.12</v>
      </c>
      <c r="O155" s="55">
        <v>22.35</v>
      </c>
      <c r="P155" s="55">
        <v>20.32</v>
      </c>
    </row>
    <row r="156" spans="1:16">
      <c r="A156" s="93">
        <v>42715</v>
      </c>
      <c r="B156" s="55">
        <v>22.92</v>
      </c>
      <c r="C156" s="55">
        <v>27.41</v>
      </c>
      <c r="D156" s="55">
        <v>27.94</v>
      </c>
      <c r="E156" s="55">
        <v>25.42</v>
      </c>
      <c r="F156" s="55">
        <v>22.41</v>
      </c>
      <c r="G156" s="55">
        <v>22.55</v>
      </c>
      <c r="H156" s="55">
        <v>27.34</v>
      </c>
      <c r="I156" s="55">
        <v>25.3</v>
      </c>
      <c r="J156" s="55">
        <v>22.3</v>
      </c>
      <c r="K156" s="55">
        <v>25.95</v>
      </c>
      <c r="L156" s="55">
        <v>22.55</v>
      </c>
      <c r="M156" s="55">
        <v>27.34</v>
      </c>
      <c r="N156" s="55">
        <v>25.3</v>
      </c>
      <c r="O156" s="55">
        <v>22.3</v>
      </c>
      <c r="P156" s="55">
        <v>25.06</v>
      </c>
    </row>
    <row r="157" spans="1:16">
      <c r="A157" s="93">
        <v>42722</v>
      </c>
      <c r="B157" s="55">
        <v>27.96</v>
      </c>
      <c r="C157" s="55">
        <v>22.32</v>
      </c>
      <c r="D157" s="55">
        <v>27.41</v>
      </c>
      <c r="E157" s="55">
        <v>27.38</v>
      </c>
      <c r="F157" s="55">
        <v>25.68</v>
      </c>
      <c r="G157" s="55">
        <v>25.31</v>
      </c>
      <c r="H157" s="55">
        <v>27.51</v>
      </c>
      <c r="I157" s="55">
        <v>22.11</v>
      </c>
      <c r="J157" s="55">
        <v>22.98</v>
      </c>
      <c r="K157" s="55">
        <v>25.82</v>
      </c>
      <c r="L157" s="55">
        <v>25.31</v>
      </c>
      <c r="M157" s="55">
        <v>27.51</v>
      </c>
      <c r="N157" s="55">
        <v>22.11</v>
      </c>
      <c r="O157" s="55">
        <v>22.98</v>
      </c>
      <c r="P157" s="55">
        <v>25.82</v>
      </c>
    </row>
    <row r="158" spans="1:16">
      <c r="A158" s="93">
        <v>42729</v>
      </c>
      <c r="B158" s="55">
        <v>27.37</v>
      </c>
      <c r="C158" s="55">
        <v>22.31</v>
      </c>
      <c r="D158" s="55">
        <v>22.37</v>
      </c>
      <c r="E158" s="55">
        <v>27.82</v>
      </c>
      <c r="F158" s="55">
        <v>25.12</v>
      </c>
      <c r="G158" s="55">
        <v>22.18</v>
      </c>
      <c r="H158" s="55">
        <v>27.42</v>
      </c>
      <c r="I158" s="55">
        <v>22.37</v>
      </c>
      <c r="J158" s="55">
        <v>22.42</v>
      </c>
      <c r="K158" s="55">
        <v>25.65</v>
      </c>
      <c r="L158" s="55">
        <v>22.18</v>
      </c>
      <c r="M158" s="55">
        <v>27.42</v>
      </c>
      <c r="N158" s="55">
        <v>22.37</v>
      </c>
      <c r="O158" s="55">
        <v>22.42</v>
      </c>
      <c r="P158" s="55">
        <v>25.65</v>
      </c>
    </row>
    <row r="159" spans="1:16">
      <c r="A159" s="55" t="s">
        <v>387</v>
      </c>
      <c r="B159" s="55">
        <v>25.02</v>
      </c>
      <c r="C159" s="55">
        <v>27.12</v>
      </c>
      <c r="D159" s="55">
        <v>25.51</v>
      </c>
      <c r="E159" s="55">
        <v>27.83</v>
      </c>
      <c r="F159" s="55">
        <v>25.36</v>
      </c>
      <c r="G159" s="55">
        <v>25.36</v>
      </c>
      <c r="H159" s="55">
        <v>22.95</v>
      </c>
      <c r="I159" s="55">
        <v>27.52</v>
      </c>
      <c r="J159" s="55">
        <v>22.36</v>
      </c>
      <c r="K159" s="55">
        <v>25.17</v>
      </c>
      <c r="L159" s="55">
        <v>25.36</v>
      </c>
      <c r="M159" s="55">
        <v>22.95</v>
      </c>
      <c r="N159" s="55">
        <v>27.52</v>
      </c>
      <c r="O159" s="55">
        <v>22.36</v>
      </c>
      <c r="P159" s="55">
        <v>25.17</v>
      </c>
    </row>
    <row r="160" spans="1:16">
      <c r="A160" s="93">
        <v>42744</v>
      </c>
      <c r="B160" s="55">
        <v>25.12</v>
      </c>
      <c r="C160" s="55">
        <v>27.32</v>
      </c>
      <c r="D160" s="55">
        <v>27.32</v>
      </c>
      <c r="E160" s="55">
        <v>27.54</v>
      </c>
      <c r="F160" s="55">
        <v>27.19</v>
      </c>
      <c r="G160" s="55">
        <v>27.49</v>
      </c>
      <c r="H160" s="55">
        <v>22.37</v>
      </c>
      <c r="I160" s="55">
        <v>27.36</v>
      </c>
      <c r="J160" s="55">
        <v>22.52</v>
      </c>
      <c r="K160" s="55">
        <v>27.42</v>
      </c>
      <c r="L160" s="55">
        <v>27.49</v>
      </c>
      <c r="M160" s="55">
        <v>22.37</v>
      </c>
      <c r="N160" s="55">
        <v>27.36</v>
      </c>
      <c r="O160" s="55">
        <v>22.52</v>
      </c>
      <c r="P160" s="55">
        <v>27.42</v>
      </c>
    </row>
    <row r="161" spans="1:21">
      <c r="A161" s="93">
        <v>42751</v>
      </c>
      <c r="B161" s="55">
        <v>27.58</v>
      </c>
      <c r="C161" s="55">
        <v>28.36</v>
      </c>
      <c r="D161" s="55">
        <v>25.36</v>
      </c>
      <c r="E161" s="55">
        <v>27.58</v>
      </c>
      <c r="F161" s="55">
        <v>28.48</v>
      </c>
      <c r="G161" s="55">
        <v>25.52</v>
      </c>
      <c r="H161" s="55">
        <v>25.49</v>
      </c>
      <c r="I161" s="55">
        <v>27.47</v>
      </c>
      <c r="J161" s="55">
        <v>27.34</v>
      </c>
      <c r="K161" s="55">
        <v>28.37</v>
      </c>
      <c r="L161" s="55">
        <v>27.52</v>
      </c>
      <c r="M161" s="55">
        <v>28.49</v>
      </c>
      <c r="N161" s="55">
        <v>25.47</v>
      </c>
      <c r="O161" s="55">
        <v>27.34</v>
      </c>
      <c r="P161" s="55">
        <v>25.37</v>
      </c>
    </row>
    <row r="162" spans="1:21">
      <c r="A162" s="93">
        <v>42758</v>
      </c>
      <c r="B162" s="55">
        <v>27.3</v>
      </c>
      <c r="C162" s="55">
        <v>29.91</v>
      </c>
      <c r="D162" s="55">
        <v>25.85</v>
      </c>
      <c r="E162" s="55">
        <v>27.64</v>
      </c>
      <c r="F162" s="55">
        <v>29.19</v>
      </c>
      <c r="G162" s="55">
        <v>25.3</v>
      </c>
      <c r="H162" s="55">
        <v>29.37</v>
      </c>
      <c r="I162" s="55">
        <v>25.35</v>
      </c>
      <c r="J162" s="55">
        <v>27.8</v>
      </c>
      <c r="K162" s="55">
        <v>29.59</v>
      </c>
      <c r="L162" s="55">
        <v>25.3</v>
      </c>
      <c r="M162" s="55">
        <v>29.37</v>
      </c>
      <c r="N162" s="55">
        <v>25.35</v>
      </c>
      <c r="O162" s="55">
        <v>27.8</v>
      </c>
      <c r="P162" s="55">
        <v>25.59</v>
      </c>
    </row>
    <row r="167" spans="1:21">
      <c r="T167" s="55" t="s">
        <v>42</v>
      </c>
      <c r="U167" s="55" t="s">
        <v>43</v>
      </c>
    </row>
    <row r="168" spans="1:21">
      <c r="A168" s="93">
        <v>42387</v>
      </c>
      <c r="B168" s="55">
        <v>0.99298179634471084</v>
      </c>
      <c r="C168" s="55">
        <v>0.98206324268911849</v>
      </c>
      <c r="D168" s="55">
        <v>0.97721055217552166</v>
      </c>
      <c r="E168" s="55">
        <v>0.97296444797612458</v>
      </c>
      <c r="F168" s="55">
        <v>0.98024348374651959</v>
      </c>
      <c r="G168" s="55">
        <v>0.97114468903352602</v>
      </c>
      <c r="H168" s="55">
        <v>1.0348362520244816</v>
      </c>
      <c r="I168" s="55">
        <v>1.0378691835954796</v>
      </c>
      <c r="J168" s="55">
        <v>0.97114468903352602</v>
      </c>
      <c r="K168" s="55">
        <v>0.98024348374651959</v>
      </c>
      <c r="L168" s="55">
        <v>0.97721055217552166</v>
      </c>
      <c r="M168" s="55">
        <v>0.98024348374651959</v>
      </c>
      <c r="N168" s="55">
        <v>0.98934227845951328</v>
      </c>
      <c r="O168" s="55">
        <v>0.97721055217552166</v>
      </c>
      <c r="P168" s="55">
        <v>0.98024348374651959</v>
      </c>
      <c r="T168" s="55">
        <v>0.99007018203655295</v>
      </c>
      <c r="U168" s="55">
        <v>2.5229583462184769E-2</v>
      </c>
    </row>
    <row r="169" spans="1:21">
      <c r="A169" s="93">
        <v>42393</v>
      </c>
      <c r="B169" s="55">
        <v>0.96589074387749896</v>
      </c>
      <c r="C169" s="55">
        <v>1.0004475388197438</v>
      </c>
      <c r="D169" s="55">
        <v>0.95682666651559867</v>
      </c>
      <c r="E169" s="55">
        <v>0.98685142277689342</v>
      </c>
      <c r="F169" s="55">
        <v>0.98571841310665576</v>
      </c>
      <c r="G169" s="55">
        <v>0.98005336475546823</v>
      </c>
      <c r="H169" s="55">
        <v>1.0480339449697202</v>
      </c>
      <c r="I169" s="55">
        <v>1.0100781210167626</v>
      </c>
      <c r="J169" s="55">
        <v>1.0106446258518815</v>
      </c>
      <c r="K169" s="55">
        <v>0.98741792761201208</v>
      </c>
      <c r="L169" s="55">
        <v>0.98005336475546823</v>
      </c>
      <c r="M169" s="55">
        <v>0.99138346145784351</v>
      </c>
      <c r="N169" s="55">
        <v>1.0100781210167626</v>
      </c>
      <c r="O169" s="55">
        <v>1.0106446258518815</v>
      </c>
      <c r="P169" s="55">
        <v>0.98741792761201208</v>
      </c>
      <c r="T169" s="55">
        <v>0.99319627693022361</v>
      </c>
      <c r="U169" s="55">
        <v>2.586252964066197E-2</v>
      </c>
    </row>
    <row r="170" spans="1:21">
      <c r="A170" s="93">
        <v>42399</v>
      </c>
      <c r="B170" s="55">
        <v>0.98425096617496544</v>
      </c>
      <c r="C170" s="55">
        <v>0.99494381164298118</v>
      </c>
      <c r="D170" s="55">
        <v>0.96846628953170433</v>
      </c>
      <c r="E170" s="55">
        <v>0.93638775312765743</v>
      </c>
      <c r="F170" s="55">
        <v>0.92263980895449438</v>
      </c>
      <c r="G170" s="55">
        <v>0.94249795053795216</v>
      </c>
      <c r="H170" s="55">
        <v>0.96948465576675347</v>
      </c>
      <c r="I170" s="55">
        <v>0.93486020377508372</v>
      </c>
      <c r="J170" s="55">
        <v>0.92416735830706798</v>
      </c>
      <c r="K170" s="55">
        <v>1.0137835869913898</v>
      </c>
      <c r="L170" s="55">
        <v>0.94249795053795216</v>
      </c>
      <c r="M170" s="55">
        <v>0.96439282459150799</v>
      </c>
      <c r="N170" s="55">
        <v>0.93486020377508372</v>
      </c>
      <c r="O170" s="55">
        <v>0.98934279735021113</v>
      </c>
      <c r="P170" s="55">
        <v>0.96286527523893428</v>
      </c>
      <c r="T170" s="55">
        <v>0.95914823848100494</v>
      </c>
      <c r="U170" s="55">
        <v>3.1678711246986208E-2</v>
      </c>
    </row>
    <row r="171" spans="1:21">
      <c r="A171" s="93">
        <v>42407</v>
      </c>
      <c r="B171" s="55">
        <v>0.95282797465383717</v>
      </c>
      <c r="C171" s="55">
        <v>0.95517484158648214</v>
      </c>
      <c r="D171" s="55">
        <v>1.0053977939450833</v>
      </c>
      <c r="E171" s="55">
        <v>1.0260502229523585</v>
      </c>
      <c r="F171" s="55">
        <v>0.9589298286787139</v>
      </c>
      <c r="G171" s="55">
        <v>0.95470546819995306</v>
      </c>
      <c r="H171" s="55">
        <v>1.01619338183525</v>
      </c>
      <c r="I171" s="55">
        <v>0.94531800046937342</v>
      </c>
      <c r="J171" s="55">
        <v>0.99131659234921388</v>
      </c>
      <c r="K171" s="55">
        <v>0.95282797465383717</v>
      </c>
      <c r="L171" s="55">
        <v>1.0016428068528513</v>
      </c>
      <c r="M171" s="55">
        <v>0.96925604318235148</v>
      </c>
      <c r="N171" s="55">
        <v>0.99225533912227182</v>
      </c>
      <c r="O171" s="55">
        <v>0.99131659234921388</v>
      </c>
      <c r="P171" s="55">
        <v>0.99976531330673557</v>
      </c>
      <c r="T171" s="55">
        <v>0.97587420793241031</v>
      </c>
      <c r="U171" s="55">
        <v>3.0574151180141014E-2</v>
      </c>
    </row>
    <row r="172" spans="1:21">
      <c r="A172" s="93">
        <v>42421</v>
      </c>
      <c r="B172" s="55">
        <v>0.95344673231871091</v>
      </c>
      <c r="C172" s="55">
        <v>0.95568487018800363</v>
      </c>
      <c r="D172" s="55">
        <v>1.0035810205908684</v>
      </c>
      <c r="E172" s="55">
        <v>1.0232766338406445</v>
      </c>
      <c r="F172" s="55">
        <v>0.95434198746642795</v>
      </c>
      <c r="G172" s="55">
        <v>1</v>
      </c>
      <c r="H172" s="55">
        <v>0.94538943598925695</v>
      </c>
      <c r="I172" s="55">
        <v>0.95434198746642795</v>
      </c>
      <c r="J172" s="55">
        <v>1.0040286481647269</v>
      </c>
      <c r="K172" s="55">
        <v>0.93330349149507619</v>
      </c>
      <c r="L172" s="55">
        <v>0.97806624888093119</v>
      </c>
      <c r="M172" s="55">
        <v>0.94538943598925695</v>
      </c>
      <c r="N172" s="55">
        <v>0.9659803043867502</v>
      </c>
      <c r="O172" s="55">
        <v>1.0089525514771709</v>
      </c>
      <c r="P172" s="55">
        <v>0.98254252461951652</v>
      </c>
      <c r="T172" s="55">
        <v>0.97273948075201433</v>
      </c>
      <c r="U172" s="55">
        <v>3.1394585393328893E-2</v>
      </c>
    </row>
    <row r="173" spans="1:21">
      <c r="A173" s="93">
        <v>42435</v>
      </c>
      <c r="B173" s="55">
        <v>0.86125398889476257</v>
      </c>
      <c r="C173" s="55">
        <v>0.88170491246618843</v>
      </c>
      <c r="D173" s="55">
        <v>0.86125398889476257</v>
      </c>
      <c r="E173" s="55">
        <v>0.88517771080850605</v>
      </c>
      <c r="F173" s="55">
        <v>0.86974305150931663</v>
      </c>
      <c r="G173" s="55">
        <v>0.88556357729098567</v>
      </c>
      <c r="H173" s="55">
        <v>0.87514518226403293</v>
      </c>
      <c r="I173" s="55">
        <v>0.87553104874651277</v>
      </c>
      <c r="J173" s="55">
        <v>0.86781371909691796</v>
      </c>
      <c r="K173" s="55">
        <v>0.87167238392171542</v>
      </c>
      <c r="L173" s="55">
        <v>0.85315079276268824</v>
      </c>
      <c r="M173" s="55">
        <v>0.86356918778964098</v>
      </c>
      <c r="N173" s="55">
        <v>0.85353665924516797</v>
      </c>
      <c r="O173" s="55">
        <v>0.8736017163341141</v>
      </c>
      <c r="P173" s="55">
        <v>0.86549852020203966</v>
      </c>
      <c r="T173" s="55">
        <v>0.87348595638937021</v>
      </c>
      <c r="U173" s="55">
        <v>8.8554279387296798E-3</v>
      </c>
    </row>
    <row r="174" spans="1:21">
      <c r="A174" s="93">
        <v>42449</v>
      </c>
      <c r="B174" s="55">
        <v>0.84253843690531849</v>
      </c>
      <c r="C174" s="55">
        <v>0.83149599343342695</v>
      </c>
      <c r="D174" s="55">
        <v>0.82671093459560741</v>
      </c>
      <c r="E174" s="55">
        <v>0.83922570386375106</v>
      </c>
      <c r="F174" s="55">
        <v>0.82965558618811164</v>
      </c>
      <c r="G174" s="55">
        <v>0.82928750473904866</v>
      </c>
      <c r="H174" s="55">
        <v>0.82413436445216603</v>
      </c>
      <c r="I174" s="55">
        <v>0.82965558618811164</v>
      </c>
      <c r="J174" s="55">
        <v>0.83002366763717483</v>
      </c>
      <c r="K174" s="55">
        <v>0.83517680792405746</v>
      </c>
      <c r="L174" s="55">
        <v>0.82928750473904866</v>
      </c>
      <c r="M174" s="55">
        <v>0.82413436445216603</v>
      </c>
      <c r="N174" s="55">
        <v>0.82523860879935518</v>
      </c>
      <c r="O174" s="55">
        <v>0.79321552273086993</v>
      </c>
      <c r="P174" s="55">
        <v>0.83186407488249003</v>
      </c>
      <c r="T174" s="55">
        <v>0.83179045859267742</v>
      </c>
      <c r="U174" s="55">
        <v>5.6300287323201399E-3</v>
      </c>
    </row>
    <row r="175" spans="1:21">
      <c r="A175" s="93">
        <v>42465</v>
      </c>
      <c r="B175" s="55">
        <v>0.92247071274503711</v>
      </c>
      <c r="C175" s="55">
        <v>0.9206396871143403</v>
      </c>
      <c r="D175" s="55">
        <v>0.82579255944424712</v>
      </c>
      <c r="E175" s="55">
        <v>0.93785132804288995</v>
      </c>
      <c r="F175" s="55">
        <v>0.92796378963712745</v>
      </c>
      <c r="G175" s="55">
        <v>0.83970835423754264</v>
      </c>
      <c r="H175" s="55">
        <v>0.80931332876797624</v>
      </c>
      <c r="I175" s="55">
        <v>0.82249671330899299</v>
      </c>
      <c r="J175" s="55">
        <v>0.82872220045336198</v>
      </c>
      <c r="K175" s="55">
        <v>0.7379033291708017</v>
      </c>
      <c r="L175" s="55">
        <v>0.94956989207934939</v>
      </c>
      <c r="M175" s="55">
        <v>0.94480922543953783</v>
      </c>
      <c r="N175" s="55">
        <v>0.82249671330899299</v>
      </c>
      <c r="O175" s="55">
        <v>0.82872220045336198</v>
      </c>
      <c r="P175" s="55">
        <v>0.78148173918138508</v>
      </c>
      <c r="T175" s="55">
        <v>0.85728620029223168</v>
      </c>
      <c r="U175" s="55">
        <v>6.635715928713963E-2</v>
      </c>
    </row>
    <row r="176" spans="1:21">
      <c r="A176" s="93">
        <v>42472</v>
      </c>
      <c r="B176" s="55">
        <v>0.83050112989696634</v>
      </c>
      <c r="C176" s="55">
        <v>0.8895924133954568</v>
      </c>
      <c r="D176" s="55">
        <v>0.77140984639847576</v>
      </c>
      <c r="E176" s="55">
        <v>0.84554254751476388</v>
      </c>
      <c r="F176" s="55">
        <v>0.87168596385045971</v>
      </c>
      <c r="G176" s="55">
        <v>0.89281557431355629</v>
      </c>
      <c r="H176" s="55">
        <v>0.92397279652185127</v>
      </c>
      <c r="I176" s="55">
        <v>0.80435771356127062</v>
      </c>
      <c r="J176" s="55">
        <v>0.91788460367655222</v>
      </c>
      <c r="K176" s="55">
        <v>0.72162991666338383</v>
      </c>
      <c r="L176" s="55">
        <v>0.89281557431355629</v>
      </c>
      <c r="M176" s="55">
        <v>0.88815989743185708</v>
      </c>
      <c r="N176" s="55">
        <v>0.80435771356127062</v>
      </c>
      <c r="O176" s="55">
        <v>0.84625880549656374</v>
      </c>
      <c r="P176" s="55">
        <v>0.80143758486623895</v>
      </c>
      <c r="T176" s="55">
        <v>0.84693925057927366</v>
      </c>
      <c r="U176" s="55">
        <v>6.5824859766985669E-2</v>
      </c>
    </row>
    <row r="177" spans="1:21">
      <c r="A177" s="93">
        <v>42477</v>
      </c>
      <c r="B177" s="55">
        <v>0.96411978650373398</v>
      </c>
      <c r="C177" s="55">
        <v>0.94612852813868087</v>
      </c>
      <c r="D177" s="55">
        <v>0.70624508327130464</v>
      </c>
      <c r="E177" s="55">
        <v>0.96341424696000644</v>
      </c>
      <c r="F177" s="55">
        <v>0.88686320646556438</v>
      </c>
      <c r="G177" s="55">
        <v>0.74469698840445753</v>
      </c>
      <c r="H177" s="55">
        <v>0.9739973401159201</v>
      </c>
      <c r="I177" s="55">
        <v>0.92249295342380688</v>
      </c>
      <c r="J177" s="55">
        <v>0.76304101654137457</v>
      </c>
      <c r="K177" s="55">
        <v>0.70624508327130464</v>
      </c>
      <c r="L177" s="55">
        <v>0.74469698840445753</v>
      </c>
      <c r="M177" s="55">
        <v>0.9739973401159201</v>
      </c>
      <c r="N177" s="55">
        <v>0.95071453517291005</v>
      </c>
      <c r="O177" s="55">
        <v>0.76304101654137457</v>
      </c>
      <c r="P177" s="55">
        <v>0.78007863354512452</v>
      </c>
      <c r="T177" s="55">
        <v>0.8577244233096154</v>
      </c>
      <c r="U177" s="55">
        <v>0.11377421584390517</v>
      </c>
    </row>
    <row r="178" spans="1:21">
      <c r="A178" s="93">
        <v>42484</v>
      </c>
      <c r="B178" s="55">
        <v>0.9268742666060733</v>
      </c>
      <c r="C178" s="55">
        <v>0.88583812088366765</v>
      </c>
      <c r="D178" s="55">
        <v>0.71016272018774884</v>
      </c>
      <c r="E178" s="55">
        <v>0.92619598320570296</v>
      </c>
      <c r="F178" s="55">
        <v>0.85260223426552084</v>
      </c>
      <c r="G178" s="55">
        <v>0.71592812909089676</v>
      </c>
      <c r="H178" s="55">
        <v>0.93637023421125809</v>
      </c>
      <c r="I178" s="55">
        <v>0.88685554598422311</v>
      </c>
      <c r="J178" s="55">
        <v>0.73356349750052563</v>
      </c>
      <c r="K178" s="55">
        <v>0.71016272018774884</v>
      </c>
      <c r="L178" s="55">
        <v>0.71592812909089676</v>
      </c>
      <c r="M178" s="55">
        <v>0.93637023421125809</v>
      </c>
      <c r="N178" s="55">
        <v>0.91398688199903677</v>
      </c>
      <c r="O178" s="55">
        <v>0.73356349750052563</v>
      </c>
      <c r="P178" s="55">
        <v>0.75147465146854797</v>
      </c>
      <c r="T178" s="55">
        <v>0.82845534521233655</v>
      </c>
      <c r="U178" s="55">
        <v>9.8784111248731585E-2</v>
      </c>
    </row>
    <row r="179" spans="1:21">
      <c r="A179" s="93">
        <v>42491</v>
      </c>
      <c r="B179" s="55">
        <v>0.72573578681511264</v>
      </c>
      <c r="C179" s="55">
        <v>0.94599934711269174</v>
      </c>
      <c r="D179" s="55">
        <v>0.73467003419067733</v>
      </c>
      <c r="E179" s="55">
        <v>0.72573578681511264</v>
      </c>
      <c r="F179" s="55">
        <v>0.89033211346494168</v>
      </c>
      <c r="G179" s="55">
        <v>0.72745391131041359</v>
      </c>
      <c r="H179" s="55">
        <v>0.7336391594934969</v>
      </c>
      <c r="I179" s="55">
        <v>0.7343264092916173</v>
      </c>
      <c r="J179" s="55">
        <v>0.73192103499819594</v>
      </c>
      <c r="K179" s="55">
        <v>0.73467003419067733</v>
      </c>
      <c r="L179" s="55">
        <v>0.72745391131041359</v>
      </c>
      <c r="M179" s="55">
        <v>0.7336391594934969</v>
      </c>
      <c r="N179" s="55">
        <v>0.7343264092916173</v>
      </c>
      <c r="O179" s="55">
        <v>0.73192103499819594</v>
      </c>
      <c r="P179" s="55">
        <v>0.76128019532998636</v>
      </c>
      <c r="T179" s="55">
        <v>0.76844836176829368</v>
      </c>
      <c r="U179" s="55">
        <v>8.0070426669763592E-2</v>
      </c>
    </row>
    <row r="180" spans="1:21">
      <c r="A180" s="93">
        <v>42498</v>
      </c>
      <c r="B180" s="55">
        <v>0.95544991015720837</v>
      </c>
      <c r="C180" s="55">
        <v>0.91268341521956786</v>
      </c>
      <c r="D180" s="55">
        <v>0.74294352833528932</v>
      </c>
      <c r="E180" s="55">
        <v>0.70017703339764892</v>
      </c>
      <c r="F180" s="55">
        <v>0.85897665413508917</v>
      </c>
      <c r="G180" s="55">
        <v>0.70183464948050323</v>
      </c>
      <c r="H180" s="55">
        <v>0.7078020673787786</v>
      </c>
      <c r="I180" s="55">
        <v>0.70846511381192034</v>
      </c>
      <c r="J180" s="55">
        <v>0.70614445129592429</v>
      </c>
      <c r="K180" s="55">
        <v>0.74526419085128537</v>
      </c>
      <c r="L180" s="55">
        <v>0.70183464948050323</v>
      </c>
      <c r="M180" s="55">
        <v>0.7078020673787786</v>
      </c>
      <c r="N180" s="55">
        <v>0.70846511381192034</v>
      </c>
      <c r="O180" s="55">
        <v>0.70614445129592429</v>
      </c>
      <c r="P180" s="55">
        <v>0.74159193368311693</v>
      </c>
      <c r="T180" s="55">
        <v>0.77397410140632161</v>
      </c>
      <c r="U180" s="55">
        <v>9.7243946996915381E-2</v>
      </c>
    </row>
    <row r="181" spans="1:21">
      <c r="A181" s="93">
        <v>42505</v>
      </c>
      <c r="B181" s="55">
        <v>0.69595335231584476</v>
      </c>
      <c r="C181" s="55">
        <v>0.7115198765055748</v>
      </c>
      <c r="D181" s="55">
        <v>0.68525136693540534</v>
      </c>
      <c r="E181" s="55">
        <v>0.69368323420484246</v>
      </c>
      <c r="F181" s="55">
        <v>0.85713173819700728</v>
      </c>
      <c r="G181" s="55">
        <v>0.6599557651270942</v>
      </c>
      <c r="H181" s="55">
        <v>0.67908961777697063</v>
      </c>
      <c r="I181" s="55">
        <v>0.96058426354125459</v>
      </c>
      <c r="J181" s="55">
        <v>0.66028006771438019</v>
      </c>
      <c r="K181" s="55">
        <v>0.70924975839457249</v>
      </c>
      <c r="L181" s="55">
        <v>0.6599557651270942</v>
      </c>
      <c r="M181" s="55">
        <v>0.67908961777697063</v>
      </c>
      <c r="N181" s="55">
        <v>0.96058426354125459</v>
      </c>
      <c r="O181" s="55">
        <v>0.66028006771438019</v>
      </c>
      <c r="P181" s="55">
        <v>0.70133107324128108</v>
      </c>
      <c r="T181" s="55">
        <v>0.73126990407129466</v>
      </c>
      <c r="U181" s="55">
        <v>9.8277947707194543E-2</v>
      </c>
    </row>
    <row r="182" spans="1:21">
      <c r="A182" s="93">
        <v>42512</v>
      </c>
      <c r="B182" s="55">
        <v>0.68063889981350623</v>
      </c>
      <c r="C182" s="55">
        <v>0.69586288266115226</v>
      </c>
      <c r="D182" s="55">
        <v>0.67715007041092068</v>
      </c>
      <c r="E182" s="55">
        <v>0.67841873564822452</v>
      </c>
      <c r="F182" s="55">
        <v>0.83827055554850738</v>
      </c>
      <c r="G182" s="55">
        <v>0.64543343947832488</v>
      </c>
      <c r="H182" s="55">
        <v>0.66414625172855646</v>
      </c>
      <c r="I182" s="55">
        <v>0.71743019169531741</v>
      </c>
      <c r="J182" s="55">
        <v>0.64575060578765076</v>
      </c>
      <c r="K182" s="55">
        <v>0.67715007041092068</v>
      </c>
      <c r="L182" s="55">
        <v>0.64543343947832488</v>
      </c>
      <c r="M182" s="55">
        <v>0.66414625172855646</v>
      </c>
      <c r="N182" s="55">
        <v>0.71743019169531741</v>
      </c>
      <c r="O182" s="55">
        <v>0.64575060578765076</v>
      </c>
      <c r="P182" s="55">
        <v>0.67633101455716604</v>
      </c>
      <c r="T182" s="55">
        <v>0.69202517031830824</v>
      </c>
      <c r="U182" s="55">
        <v>5.5672189416832225E-2</v>
      </c>
    </row>
    <row r="183" spans="1:21">
      <c r="A183" s="93">
        <v>42519</v>
      </c>
      <c r="B183" s="55">
        <v>0.66708385481852317</v>
      </c>
      <c r="C183" s="55">
        <v>0.66239048811013768</v>
      </c>
      <c r="D183" s="55">
        <v>0.62640801001251556</v>
      </c>
      <c r="E183" s="55">
        <v>0.67146433041301623</v>
      </c>
      <c r="F183" s="55">
        <v>0.6292240300375469</v>
      </c>
      <c r="G183" s="55">
        <v>0.62734668335419275</v>
      </c>
      <c r="H183" s="55">
        <v>0.66708385481852317</v>
      </c>
      <c r="I183" s="55">
        <v>0.66802252816020025</v>
      </c>
      <c r="J183" s="55">
        <v>0.68992490613266588</v>
      </c>
      <c r="K183" s="55">
        <v>0.62640801001251556</v>
      </c>
      <c r="L183" s="55">
        <v>0.68992490613266588</v>
      </c>
      <c r="M183" s="55">
        <v>0.66708385481852317</v>
      </c>
      <c r="N183" s="55">
        <v>0.69931163954943687</v>
      </c>
      <c r="O183" s="55">
        <v>0.65863579474342926</v>
      </c>
      <c r="P183" s="55">
        <v>0.70912473008843557</v>
      </c>
      <c r="T183" s="55">
        <v>0.65353566958698384</v>
      </c>
      <c r="U183" s="55">
        <v>2.3687163868941107E-2</v>
      </c>
    </row>
    <row r="184" spans="1:21">
      <c r="A184" s="93">
        <v>42526</v>
      </c>
      <c r="B184" s="55">
        <v>0.68981716136529403</v>
      </c>
      <c r="C184" s="55">
        <v>0.70681534410503022</v>
      </c>
      <c r="D184" s="55">
        <v>0.65983854816975929</v>
      </c>
      <c r="E184" s="55">
        <v>0.66323818471770657</v>
      </c>
      <c r="F184" s="55">
        <v>0.68332694613739475</v>
      </c>
      <c r="G184" s="55">
        <v>0.61966102533038292</v>
      </c>
      <c r="H184" s="55">
        <v>0.65891137456577364</v>
      </c>
      <c r="I184" s="55">
        <v>0.69074433496927967</v>
      </c>
      <c r="J184" s="55">
        <v>0.65056681212990319</v>
      </c>
      <c r="K184" s="55">
        <v>0.63264145578618136</v>
      </c>
      <c r="L184" s="55">
        <v>0.61966102533038292</v>
      </c>
      <c r="M184" s="55">
        <v>0.65891137456577364</v>
      </c>
      <c r="N184" s="55">
        <v>0.69074433496927967</v>
      </c>
      <c r="O184" s="55">
        <v>0.65056681212990319</v>
      </c>
      <c r="P184" s="55">
        <v>0.69682360511995456</v>
      </c>
      <c r="T184" s="55">
        <v>0.66555611872767062</v>
      </c>
      <c r="U184" s="55">
        <v>2.7361368581309393E-2</v>
      </c>
    </row>
    <row r="185" spans="1:21">
      <c r="A185" s="93">
        <v>42533</v>
      </c>
      <c r="B185" s="55">
        <v>0.62223319091175522</v>
      </c>
      <c r="C185" s="55">
        <v>0.6577100461199118</v>
      </c>
      <c r="D185" s="55">
        <v>0.68794249664512341</v>
      </c>
      <c r="E185" s="55">
        <v>0.68855948543135226</v>
      </c>
      <c r="F185" s="55">
        <v>0.6623374620166278</v>
      </c>
      <c r="G185" s="55">
        <v>0.64845521432647957</v>
      </c>
      <c r="H185" s="55">
        <v>0.68208110317594972</v>
      </c>
      <c r="I185" s="55">
        <v>0.62130770773241195</v>
      </c>
      <c r="J185" s="55">
        <v>0.64783822554025072</v>
      </c>
      <c r="K185" s="55">
        <v>0.6592525180854838</v>
      </c>
      <c r="L185" s="55">
        <v>0.64845521432647957</v>
      </c>
      <c r="M185" s="55">
        <v>0.68208110317594972</v>
      </c>
      <c r="N185" s="55">
        <v>0.62130770773241195</v>
      </c>
      <c r="O185" s="55">
        <v>0.66789036109268707</v>
      </c>
      <c r="P185" s="55">
        <v>0.68923071498999544</v>
      </c>
      <c r="T185" s="55">
        <v>0.65777174499853464</v>
      </c>
      <c r="U185" s="55">
        <v>2.4152832296229519E-2</v>
      </c>
    </row>
    <row r="186" spans="1:21">
      <c r="A186" s="93">
        <v>42540</v>
      </c>
      <c r="B186" s="55">
        <v>0.67664912502787977</v>
      </c>
      <c r="C186" s="55">
        <v>0.6661000295374675</v>
      </c>
      <c r="D186" s="55">
        <v>0.63445274306623034</v>
      </c>
      <c r="E186" s="55">
        <v>0.6721280841034174</v>
      </c>
      <c r="F186" s="55">
        <v>0.63656256216431284</v>
      </c>
      <c r="G186" s="55">
        <v>0.63384993760963537</v>
      </c>
      <c r="H186" s="55">
        <v>0.64349482491515519</v>
      </c>
      <c r="I186" s="55">
        <v>0.6495228794811051</v>
      </c>
      <c r="J186" s="55">
        <v>0.66640143226576487</v>
      </c>
      <c r="K186" s="55">
        <v>0.63656256216431284</v>
      </c>
      <c r="L186" s="55">
        <v>0.663990210439385</v>
      </c>
      <c r="M186" s="55">
        <v>0.67363509774490493</v>
      </c>
      <c r="N186" s="55">
        <v>0.67966315231085483</v>
      </c>
      <c r="O186" s="55">
        <v>0.66640143226576487</v>
      </c>
      <c r="P186" s="55">
        <v>0.6826076251180685</v>
      </c>
      <c r="T186" s="55">
        <v>0.65157241803352817</v>
      </c>
      <c r="U186" s="55">
        <v>1.7027875997972345E-2</v>
      </c>
    </row>
    <row r="187" spans="1:21">
      <c r="A187" s="93">
        <v>42547</v>
      </c>
      <c r="B187" s="55">
        <v>0.67172742519198503</v>
      </c>
      <c r="C187" s="55">
        <v>0.67496395680701449</v>
      </c>
      <c r="D187" s="55">
        <v>0.62788713331567947</v>
      </c>
      <c r="E187" s="55">
        <v>0.62082560979197932</v>
      </c>
      <c r="F187" s="55">
        <v>0.66643128254920991</v>
      </c>
      <c r="G187" s="55">
        <v>0.6222967605260834</v>
      </c>
      <c r="H187" s="55">
        <v>0.66525436196192655</v>
      </c>
      <c r="I187" s="55">
        <v>0.621414070085621</v>
      </c>
      <c r="J187" s="55">
        <v>0.6508370847677053</v>
      </c>
      <c r="K187" s="55">
        <v>0.62111983993880004</v>
      </c>
      <c r="L187" s="55">
        <v>0.6222967605260834</v>
      </c>
      <c r="M187" s="55">
        <v>0.66731397298967243</v>
      </c>
      <c r="N187" s="55">
        <v>0.621414070085621</v>
      </c>
      <c r="O187" s="55">
        <v>0.6714331950451643</v>
      </c>
      <c r="P187" s="55">
        <v>0.67518705439086701</v>
      </c>
      <c r="T187" s="55">
        <v>0.64427575249360047</v>
      </c>
      <c r="U187" s="55">
        <v>2.364037458427664E-2</v>
      </c>
    </row>
    <row r="188" spans="1:21">
      <c r="A188" s="93">
        <v>42555</v>
      </c>
      <c r="B188" s="55">
        <v>0.60647009540282704</v>
      </c>
      <c r="C188" s="55">
        <v>0.60403772871003492</v>
      </c>
      <c r="D188" s="55">
        <v>0.69241371854814737</v>
      </c>
      <c r="E188" s="55">
        <v>0.60511878057349811</v>
      </c>
      <c r="F188" s="55">
        <v>0.69322450744574471</v>
      </c>
      <c r="G188" s="55">
        <v>0.71457528174914198</v>
      </c>
      <c r="H188" s="55">
        <v>0.60322693981243758</v>
      </c>
      <c r="I188" s="55">
        <v>0.60322693981243758</v>
      </c>
      <c r="J188" s="55">
        <v>0.68646793329910005</v>
      </c>
      <c r="K188" s="55">
        <v>0.61890219183265316</v>
      </c>
      <c r="L188" s="55">
        <v>0.60647009540282704</v>
      </c>
      <c r="M188" s="55">
        <v>0.60322693981243758</v>
      </c>
      <c r="N188" s="55">
        <v>0.57620064322585884</v>
      </c>
      <c r="O188" s="55">
        <v>0.57836274695278511</v>
      </c>
      <c r="P188" s="55">
        <v>0.56484959865949569</v>
      </c>
      <c r="T188" s="55">
        <v>0.64276641171860227</v>
      </c>
      <c r="U188" s="55">
        <v>4.7150031893311406E-2</v>
      </c>
    </row>
    <row r="189" spans="1:21">
      <c r="A189" s="93">
        <v>42562</v>
      </c>
      <c r="B189" s="55">
        <v>0.6010882260775432</v>
      </c>
      <c r="C189" s="55">
        <v>0.63555821439762972</v>
      </c>
      <c r="D189" s="55">
        <v>0.62473292880950337</v>
      </c>
      <c r="E189" s="55">
        <v>0.63869184969945592</v>
      </c>
      <c r="F189" s="55">
        <v>0.65236589465287864</v>
      </c>
      <c r="G189" s="55">
        <v>0.72358487878528899</v>
      </c>
      <c r="H189" s="55">
        <v>0.65236589465287864</v>
      </c>
      <c r="I189" s="55">
        <v>0.7207361194199926</v>
      </c>
      <c r="J189" s="55">
        <v>0.65236589465287864</v>
      </c>
      <c r="K189" s="55">
        <v>0.7221604991026408</v>
      </c>
      <c r="L189" s="55">
        <v>0.63812209782639651</v>
      </c>
      <c r="M189" s="55">
        <v>0.65236589465287864</v>
      </c>
      <c r="N189" s="55">
        <v>0.7207361194199926</v>
      </c>
      <c r="O189" s="55">
        <v>0.65236589465287864</v>
      </c>
      <c r="P189" s="55">
        <v>0.7221604991026408</v>
      </c>
      <c r="T189" s="55">
        <v>0.66236504002506902</v>
      </c>
      <c r="U189" s="55">
        <v>4.4071339617197162E-2</v>
      </c>
    </row>
    <row r="190" spans="1:21">
      <c r="A190" s="93">
        <v>42569</v>
      </c>
      <c r="B190" s="55">
        <v>0.61194029850746268</v>
      </c>
      <c r="C190" s="55">
        <v>0.64179104477611937</v>
      </c>
      <c r="D190" s="55">
        <v>0.63553386911595855</v>
      </c>
      <c r="E190" s="55">
        <v>0.63662456946039025</v>
      </c>
      <c r="F190" s="55">
        <v>0.6403559127439723</v>
      </c>
      <c r="G190" s="55">
        <v>0.64092996555683113</v>
      </c>
      <c r="H190" s="55">
        <v>0.61940298507462677</v>
      </c>
      <c r="I190" s="55">
        <v>0.64580941446613083</v>
      </c>
      <c r="J190" s="55">
        <v>0.60562571756601602</v>
      </c>
      <c r="K190" s="55">
        <v>0.640068886337543</v>
      </c>
      <c r="L190" s="55">
        <v>0.64092996555683113</v>
      </c>
      <c r="M190" s="55">
        <v>0.64810562571756591</v>
      </c>
      <c r="N190" s="55">
        <v>0.64580941446613083</v>
      </c>
      <c r="O190" s="55">
        <v>0.64580941446613083</v>
      </c>
      <c r="P190" s="55">
        <v>0.640068886337543</v>
      </c>
      <c r="T190" s="55">
        <v>0.63180826636050513</v>
      </c>
      <c r="U190" s="55">
        <v>1.4108403381237845E-2</v>
      </c>
    </row>
    <row r="191" spans="1:21">
      <c r="A191" s="93">
        <v>42576</v>
      </c>
      <c r="B191" s="55">
        <v>0.63646837328237826</v>
      </c>
      <c r="C191" s="55">
        <v>0.62944333604968095</v>
      </c>
      <c r="D191" s="55">
        <v>0.62101329137044425</v>
      </c>
      <c r="E191" s="55">
        <v>0.64433641498299932</v>
      </c>
      <c r="F191" s="55">
        <v>0.62185629583836788</v>
      </c>
      <c r="G191" s="55">
        <v>0.59403714839688648</v>
      </c>
      <c r="H191" s="55">
        <v>0.62354230477421524</v>
      </c>
      <c r="I191" s="55">
        <v>0.6277573271138337</v>
      </c>
      <c r="J191" s="55">
        <v>0.62157529434906</v>
      </c>
      <c r="K191" s="55">
        <v>0.62157529434906</v>
      </c>
      <c r="L191" s="55">
        <v>0.59403714839688648</v>
      </c>
      <c r="M191" s="55">
        <v>0.62354230477421524</v>
      </c>
      <c r="N191" s="55">
        <v>0.6277573271138337</v>
      </c>
      <c r="O191" s="55">
        <v>0.59207013797173125</v>
      </c>
      <c r="P191" s="55">
        <v>0.62157529434906</v>
      </c>
      <c r="T191" s="55">
        <v>0.62416050805069256</v>
      </c>
      <c r="U191" s="55">
        <v>1.3062993296518513E-2</v>
      </c>
    </row>
    <row r="192" spans="1:21">
      <c r="A192" s="93">
        <v>42584</v>
      </c>
      <c r="B192" s="55">
        <v>0.6246824366284649</v>
      </c>
      <c r="C192" s="55">
        <v>0.75820019194941568</v>
      </c>
      <c r="D192" s="55">
        <v>0.64500649240670693</v>
      </c>
      <c r="E192" s="55">
        <v>0.60153559532546708</v>
      </c>
      <c r="F192" s="55">
        <v>0.59560774572347996</v>
      </c>
      <c r="G192" s="55">
        <v>0.61226218031953927</v>
      </c>
      <c r="H192" s="55">
        <v>0.85530401400101619</v>
      </c>
      <c r="I192" s="55">
        <v>0.74295715011573416</v>
      </c>
      <c r="J192" s="55">
        <v>0.60210015243041826</v>
      </c>
      <c r="K192" s="55">
        <v>0.6246824366284649</v>
      </c>
      <c r="L192" s="55">
        <v>0.61226218031953927</v>
      </c>
      <c r="M192" s="55">
        <v>0.85530401400101619</v>
      </c>
      <c r="N192" s="55">
        <v>0.74295715011573416</v>
      </c>
      <c r="O192" s="55">
        <v>0.60210015243041826</v>
      </c>
      <c r="P192" s="55">
        <v>0.6246824366284649</v>
      </c>
      <c r="T192" s="55">
        <v>0.66623383955287085</v>
      </c>
      <c r="U192" s="55">
        <v>8.831472975139934E-2</v>
      </c>
    </row>
    <row r="193" spans="1:21">
      <c r="A193" s="93">
        <v>42591</v>
      </c>
      <c r="B193" s="55">
        <v>0.59786456710753633</v>
      </c>
      <c r="C193" s="55">
        <v>0.60692741227449098</v>
      </c>
      <c r="D193" s="55">
        <v>0.6239202469625309</v>
      </c>
      <c r="E193" s="55">
        <v>0.71653119601234816</v>
      </c>
      <c r="F193" s="55">
        <v>0.63185023648361605</v>
      </c>
      <c r="G193" s="55">
        <v>0.60381205924835035</v>
      </c>
      <c r="H193" s="55">
        <v>0.63836415644736466</v>
      </c>
      <c r="I193" s="55">
        <v>0.6332663060409528</v>
      </c>
      <c r="J193" s="55">
        <v>0.6332663060409528</v>
      </c>
      <c r="K193" s="55">
        <v>0.63751451471296283</v>
      </c>
      <c r="L193" s="55">
        <v>0.60381205924835035</v>
      </c>
      <c r="M193" s="55">
        <v>0.63836415644736466</v>
      </c>
      <c r="N193" s="55">
        <v>0.6332663060409528</v>
      </c>
      <c r="O193" s="55">
        <v>0.6332663060409528</v>
      </c>
      <c r="P193" s="55">
        <v>0.63751451471296283</v>
      </c>
      <c r="T193" s="55">
        <v>0.63233170013311057</v>
      </c>
      <c r="U193" s="55">
        <v>3.3119765074590815E-2</v>
      </c>
    </row>
    <row r="194" spans="1:21">
      <c r="A194" s="93">
        <v>42598</v>
      </c>
      <c r="B194" s="55">
        <v>0.61736245507326504</v>
      </c>
      <c r="C194" s="55">
        <v>0.58335637268454521</v>
      </c>
      <c r="D194" s="55">
        <v>0.61736245507326504</v>
      </c>
      <c r="E194" s="55">
        <v>0.56179153995023501</v>
      </c>
      <c r="F194" s="55">
        <v>0.6165330384296378</v>
      </c>
      <c r="G194" s="55">
        <v>0.6068565109206524</v>
      </c>
      <c r="H194" s="55">
        <v>0.60740945534973734</v>
      </c>
      <c r="I194" s="55">
        <v>0.63367431573126898</v>
      </c>
      <c r="J194" s="55">
        <v>0.6068565109206524</v>
      </c>
      <c r="K194" s="55">
        <v>0.59552115012441242</v>
      </c>
      <c r="L194" s="55">
        <v>0.6068565109206524</v>
      </c>
      <c r="M194" s="55">
        <v>0.60740945534973734</v>
      </c>
      <c r="N194" s="55">
        <v>0.63367431573126898</v>
      </c>
      <c r="O194" s="55">
        <v>0.6068565109206524</v>
      </c>
      <c r="P194" s="55">
        <v>0.59552115012441242</v>
      </c>
      <c r="T194" s="55">
        <v>0.6046723804257671</v>
      </c>
      <c r="U194" s="55">
        <v>2.0269790225260337E-2</v>
      </c>
    </row>
    <row r="195" spans="1:21">
      <c r="A195" s="93">
        <v>42605</v>
      </c>
      <c r="B195" s="55">
        <v>0.80158337456704598</v>
      </c>
      <c r="C195" s="55">
        <v>0.59101654846335694</v>
      </c>
      <c r="D195" s="55">
        <v>0.843091978668426</v>
      </c>
      <c r="E195" s="55">
        <v>0.58826763428445761</v>
      </c>
      <c r="F195" s="55">
        <v>0.60805981637253292</v>
      </c>
      <c r="G195" s="55">
        <v>0.6149321018197812</v>
      </c>
      <c r="H195" s="55">
        <v>0.58002089174775973</v>
      </c>
      <c r="I195" s="55">
        <v>0.58551872010555828</v>
      </c>
      <c r="J195" s="55">
        <v>0.58744296003078789</v>
      </c>
      <c r="K195" s="55">
        <v>0.60805981637253292</v>
      </c>
      <c r="L195" s="55">
        <v>0.6149321018197812</v>
      </c>
      <c r="M195" s="55">
        <v>0.58002089174775973</v>
      </c>
      <c r="N195" s="55">
        <v>0.58551872010555828</v>
      </c>
      <c r="O195" s="55">
        <v>0.58744296003078789</v>
      </c>
      <c r="P195" s="55">
        <v>0.60805981637253292</v>
      </c>
      <c r="T195" s="55">
        <v>0.64079938424322402</v>
      </c>
      <c r="U195" s="55">
        <v>9.6851237981360083E-2</v>
      </c>
    </row>
    <row r="196" spans="1:21">
      <c r="A196" s="93">
        <v>42612</v>
      </c>
      <c r="B196" s="55">
        <v>0.6022246761291713</v>
      </c>
      <c r="C196" s="55">
        <v>0.81688168278165318</v>
      </c>
      <c r="D196" s="55">
        <v>0.59629938861806142</v>
      </c>
      <c r="E196" s="55">
        <v>0.69541328880389996</v>
      </c>
      <c r="F196" s="55">
        <v>0.54862775727867708</v>
      </c>
      <c r="G196" s="55">
        <v>0.59549139486654634</v>
      </c>
      <c r="H196" s="55">
        <v>0.8246922890462981</v>
      </c>
      <c r="I196" s="55">
        <v>0.60653397613725124</v>
      </c>
      <c r="J196" s="55">
        <v>0.56882760106655184</v>
      </c>
      <c r="K196" s="55">
        <v>0.60114735112715134</v>
      </c>
      <c r="L196" s="55">
        <v>0.59549139486654634</v>
      </c>
      <c r="M196" s="55">
        <v>0.8246922890462981</v>
      </c>
      <c r="N196" s="55">
        <v>0.60653397613725124</v>
      </c>
      <c r="O196" s="55">
        <v>0.56882760106655184</v>
      </c>
      <c r="P196" s="55">
        <v>0.60114735112715134</v>
      </c>
      <c r="T196" s="55">
        <v>0.64561394058552612</v>
      </c>
      <c r="U196" s="55">
        <v>9.9730456326055913E-2</v>
      </c>
    </row>
    <row r="197" spans="1:21">
      <c r="A197" s="93">
        <v>42619</v>
      </c>
      <c r="B197" s="55">
        <v>0.592443729903537</v>
      </c>
      <c r="C197" s="55">
        <v>0.60075026795284037</v>
      </c>
      <c r="D197" s="55">
        <v>0.59833869239013926</v>
      </c>
      <c r="E197" s="55">
        <v>0.60342979635584137</v>
      </c>
      <c r="F197" s="55">
        <v>0.607449088960343</v>
      </c>
      <c r="G197" s="55">
        <v>0.61361200428724538</v>
      </c>
      <c r="H197" s="55">
        <v>0.56591639871382637</v>
      </c>
      <c r="I197" s="55">
        <v>0.59271168274383712</v>
      </c>
      <c r="J197" s="55">
        <v>0.59887459807073962</v>
      </c>
      <c r="K197" s="55">
        <v>0.54448017148981775</v>
      </c>
      <c r="L197" s="55">
        <v>0.61361200428724538</v>
      </c>
      <c r="M197" s="55">
        <v>0.56591639871382637</v>
      </c>
      <c r="N197" s="55">
        <v>0.59271168274383712</v>
      </c>
      <c r="O197" s="55">
        <v>0.59887459807073962</v>
      </c>
      <c r="P197" s="55">
        <v>0.54448017148981775</v>
      </c>
      <c r="T197" s="55">
        <v>0.59180064308681679</v>
      </c>
      <c r="U197" s="55">
        <v>2.0920999411304098E-2</v>
      </c>
    </row>
    <row r="198" spans="1:21">
      <c r="A198" s="93">
        <v>42626</v>
      </c>
      <c r="B198" s="55">
        <v>0.61357248025699385</v>
      </c>
      <c r="C198" s="55">
        <v>0.57314951144425119</v>
      </c>
      <c r="D198" s="55">
        <v>0.58733770579574363</v>
      </c>
      <c r="E198" s="55">
        <v>0.54664703520278424</v>
      </c>
      <c r="F198" s="55">
        <v>0.59991968946593499</v>
      </c>
      <c r="G198" s="55">
        <v>0.60366751438897071</v>
      </c>
      <c r="H198" s="55">
        <v>0.57127559898273328</v>
      </c>
      <c r="I198" s="55">
        <v>0.70405568197028523</v>
      </c>
      <c r="J198" s="55">
        <v>0.59697496988354981</v>
      </c>
      <c r="K198" s="55">
        <v>0.56083522955427656</v>
      </c>
      <c r="L198" s="55">
        <v>0.60366751438897071</v>
      </c>
      <c r="M198" s="55">
        <v>0.57127559898273328</v>
      </c>
      <c r="N198" s="55">
        <v>0.70405568197028523</v>
      </c>
      <c r="O198" s="55">
        <v>0.59697496988354981</v>
      </c>
      <c r="P198" s="55">
        <v>0.53700977111497794</v>
      </c>
      <c r="T198" s="55">
        <v>0.59574354169455235</v>
      </c>
      <c r="U198" s="55">
        <v>4.3384613833152064E-2</v>
      </c>
    </row>
    <row r="199" spans="1:21">
      <c r="A199" s="93">
        <v>42633</v>
      </c>
      <c r="B199" s="55">
        <v>0.58461784202539735</v>
      </c>
      <c r="C199" s="55">
        <v>0.59420174107499402</v>
      </c>
      <c r="D199" s="55">
        <v>0.56997577403295796</v>
      </c>
      <c r="E199" s="55">
        <v>0.56917711577882479</v>
      </c>
      <c r="F199" s="55">
        <v>0.57104065170513529</v>
      </c>
      <c r="G199" s="55">
        <v>0.54069163804807918</v>
      </c>
      <c r="H199" s="55">
        <v>0.57263796821340152</v>
      </c>
      <c r="I199" s="55">
        <v>0.58861113329606252</v>
      </c>
      <c r="J199" s="55">
        <v>0.61177222266592124</v>
      </c>
      <c r="K199" s="55">
        <v>0.68737853739051724</v>
      </c>
      <c r="L199" s="55">
        <v>0.54069163804807918</v>
      </c>
      <c r="M199" s="55">
        <v>0.57263796821340152</v>
      </c>
      <c r="N199" s="55">
        <v>0.58861113329606252</v>
      </c>
      <c r="O199" s="55">
        <v>0.61177222266592124</v>
      </c>
      <c r="P199" s="55">
        <v>0.68737853739051724</v>
      </c>
      <c r="T199" s="55">
        <v>0.58901046242312916</v>
      </c>
      <c r="U199" s="55">
        <v>3.9330709387040759E-2</v>
      </c>
    </row>
    <row r="200" spans="1:21">
      <c r="A200" s="93">
        <v>42640</v>
      </c>
      <c r="B200" s="55">
        <v>0.5618361552213692</v>
      </c>
      <c r="C200" s="55">
        <v>0.58654958460405926</v>
      </c>
      <c r="D200" s="55">
        <v>0.58812703754337992</v>
      </c>
      <c r="E200" s="55">
        <v>0.57366705226627401</v>
      </c>
      <c r="F200" s="55">
        <v>0.56173099169208118</v>
      </c>
      <c r="G200" s="55">
        <v>0.58313176990219784</v>
      </c>
      <c r="H200" s="55">
        <v>0.56315069933746975</v>
      </c>
      <c r="I200" s="55">
        <v>0.58812703754337992</v>
      </c>
      <c r="J200" s="55">
        <v>0.58944158165948046</v>
      </c>
      <c r="K200" s="55">
        <v>0.67436113155957511</v>
      </c>
      <c r="L200" s="55">
        <v>0.58313176990219784</v>
      </c>
      <c r="M200" s="55">
        <v>0.56315069933746975</v>
      </c>
      <c r="N200" s="55">
        <v>0.58812703754337992</v>
      </c>
      <c r="O200" s="55">
        <v>0.58944158165948046</v>
      </c>
      <c r="P200" s="55">
        <v>0.67436113155957511</v>
      </c>
      <c r="T200" s="55">
        <v>0.58701230413292671</v>
      </c>
      <c r="U200" s="55">
        <v>3.2785383128749408E-2</v>
      </c>
    </row>
    <row r="201" spans="1:21">
      <c r="A201" s="93">
        <v>42647</v>
      </c>
      <c r="B201" s="55">
        <v>0.54711087975013006</v>
      </c>
      <c r="C201" s="55">
        <v>0.54971369078604893</v>
      </c>
      <c r="D201" s="55">
        <v>0.55986465382613226</v>
      </c>
      <c r="E201" s="55">
        <v>0.56819364914107229</v>
      </c>
      <c r="F201" s="55">
        <v>0.56324830817282667</v>
      </c>
      <c r="G201" s="55">
        <v>0.66007287870900566</v>
      </c>
      <c r="H201" s="55">
        <v>0.59734513274336276</v>
      </c>
      <c r="I201" s="55">
        <v>0.56012493492972404</v>
      </c>
      <c r="J201" s="55">
        <v>0.58198854763144192</v>
      </c>
      <c r="K201" s="55">
        <v>0.52498698594482041</v>
      </c>
      <c r="L201" s="55">
        <v>0.66007287870900566</v>
      </c>
      <c r="M201" s="55">
        <v>0.59734513274336276</v>
      </c>
      <c r="N201" s="55">
        <v>0.56012493492972404</v>
      </c>
      <c r="O201" s="55">
        <v>0.58198854763144192</v>
      </c>
      <c r="P201" s="55">
        <v>0.52498698594482041</v>
      </c>
      <c r="T201" s="55">
        <v>0.57126496616345634</v>
      </c>
      <c r="U201" s="55">
        <v>3.681683136204849E-2</v>
      </c>
    </row>
    <row r="202" spans="1:21">
      <c r="A202" s="93">
        <v>42654</v>
      </c>
      <c r="B202" s="55">
        <v>0.65138471112955088</v>
      </c>
      <c r="C202" s="55">
        <v>0.55284721501918888</v>
      </c>
      <c r="D202" s="55">
        <v>0.55284721501918888</v>
      </c>
      <c r="E202" s="55">
        <v>0.55855201742557825</v>
      </c>
      <c r="F202" s="55">
        <v>0.57851882584794101</v>
      </c>
      <c r="G202" s="55">
        <v>0.66097915154029663</v>
      </c>
      <c r="H202" s="55">
        <v>0.58007468104968363</v>
      </c>
      <c r="I202" s="55">
        <v>0.55388445182035062</v>
      </c>
      <c r="J202" s="55">
        <v>0.58396431905404</v>
      </c>
      <c r="K202" s="55">
        <v>0.55544030702209324</v>
      </c>
      <c r="L202" s="55">
        <v>0.66097915154029663</v>
      </c>
      <c r="M202" s="55">
        <v>0.58007468104968363</v>
      </c>
      <c r="N202" s="55">
        <v>0.55388445182035062</v>
      </c>
      <c r="O202" s="55">
        <v>0.58396431905404</v>
      </c>
      <c r="P202" s="55">
        <v>0.55544030702209324</v>
      </c>
      <c r="T202" s="55">
        <v>0.58284928949279124</v>
      </c>
      <c r="U202" s="55">
        <v>4.0565303370165756E-2</v>
      </c>
    </row>
    <row r="203" spans="1:21">
      <c r="A203" s="93">
        <v>42661</v>
      </c>
      <c r="B203" s="55">
        <v>0.55323403491680978</v>
      </c>
      <c r="C203" s="55">
        <v>0.57323044581741744</v>
      </c>
      <c r="D203" s="55">
        <v>0.52195759735432101</v>
      </c>
      <c r="E203" s="55">
        <v>0.55323403491680978</v>
      </c>
      <c r="F203" s="55">
        <v>0.5411849155279822</v>
      </c>
      <c r="G203" s="55">
        <v>0.6798779706206578</v>
      </c>
      <c r="H203" s="55">
        <v>0.57656318096751868</v>
      </c>
      <c r="I203" s="55">
        <v>0.57605045248288766</v>
      </c>
      <c r="J203" s="55">
        <v>0.54708129310123832</v>
      </c>
      <c r="K203" s="55">
        <v>0.5734868100597329</v>
      </c>
      <c r="L203" s="55">
        <v>0.6798779706206578</v>
      </c>
      <c r="M203" s="55">
        <v>0.57656318096751868</v>
      </c>
      <c r="N203" s="55">
        <v>0.57605045248288766</v>
      </c>
      <c r="O203" s="55">
        <v>0.54708129310123832</v>
      </c>
      <c r="P203" s="55">
        <v>0.5734868100597329</v>
      </c>
      <c r="T203" s="55">
        <v>0.56959007357653768</v>
      </c>
      <c r="U203" s="55">
        <v>4.2686985808286317E-2</v>
      </c>
    </row>
    <row r="204" spans="1:21">
      <c r="A204" s="93">
        <v>42668</v>
      </c>
      <c r="B204" s="55">
        <v>0.5470375221511673</v>
      </c>
      <c r="C204" s="55">
        <v>0.58838636772221797</v>
      </c>
      <c r="D204" s="55">
        <v>0.53548039140149484</v>
      </c>
      <c r="E204" s="55">
        <v>0.58145208927241443</v>
      </c>
      <c r="F204" s="55">
        <v>0.57605876158923397</v>
      </c>
      <c r="G204" s="55">
        <v>0.67545008603641787</v>
      </c>
      <c r="H204" s="55">
        <v>0.574517810822611</v>
      </c>
      <c r="I204" s="55">
        <v>0.57400416056706993</v>
      </c>
      <c r="J204" s="55">
        <v>0.5855612913167425</v>
      </c>
      <c r="K204" s="55">
        <v>0.58016796363356193</v>
      </c>
      <c r="L204" s="55">
        <v>0.67545008603641787</v>
      </c>
      <c r="M204" s="55">
        <v>0.574517810822611</v>
      </c>
      <c r="N204" s="55">
        <v>0.57400416056706993</v>
      </c>
      <c r="O204" s="55">
        <v>0.5855612913167425</v>
      </c>
      <c r="P204" s="55">
        <v>0.58016796363356193</v>
      </c>
      <c r="T204" s="55">
        <v>0.58181164445129319</v>
      </c>
      <c r="U204" s="55">
        <v>3.7015541199296419E-2</v>
      </c>
    </row>
    <row r="205" spans="1:21">
      <c r="A205" s="93">
        <v>42677</v>
      </c>
      <c r="B205" s="55">
        <v>0.54821353301430653</v>
      </c>
      <c r="C205" s="55">
        <v>0.55614787632342366</v>
      </c>
      <c r="D205" s="55">
        <v>0.62061441570999976</v>
      </c>
      <c r="E205" s="55">
        <v>0.55292454935409485</v>
      </c>
      <c r="F205" s="55">
        <v>0.55317249758250475</v>
      </c>
      <c r="G205" s="55">
        <v>0.62780491433388708</v>
      </c>
      <c r="H205" s="55">
        <v>0.63325977535890499</v>
      </c>
      <c r="I205" s="55">
        <v>0.55441223872455425</v>
      </c>
      <c r="J205" s="55">
        <v>0.62879670724752668</v>
      </c>
      <c r="K205" s="55">
        <v>0.55813146215070297</v>
      </c>
      <c r="L205" s="55">
        <v>0.62780491433388708</v>
      </c>
      <c r="M205" s="55">
        <v>0.55887530683593256</v>
      </c>
      <c r="N205" s="55">
        <v>0.55441223872455425</v>
      </c>
      <c r="O205" s="55">
        <v>0.55441223872455425</v>
      </c>
      <c r="P205" s="55">
        <v>0.63251593067367529</v>
      </c>
      <c r="T205" s="55">
        <v>0.58334779697999051</v>
      </c>
      <c r="U205" s="55">
        <v>3.8305134754341913E-2</v>
      </c>
    </row>
    <row r="206" spans="1:21">
      <c r="A206" s="93">
        <v>42684</v>
      </c>
      <c r="B206" s="55">
        <v>0.6259266581002273</v>
      </c>
      <c r="C206" s="55">
        <v>0.62024315508549965</v>
      </c>
      <c r="D206" s="55">
        <v>0.55179401008203999</v>
      </c>
      <c r="E206" s="55">
        <v>0.6256795492735</v>
      </c>
      <c r="F206" s="55">
        <v>0.55105268360185822</v>
      </c>
      <c r="G206" s="55">
        <v>0.64124740535731928</v>
      </c>
      <c r="H206" s="55">
        <v>0.64174162301077387</v>
      </c>
      <c r="I206" s="55">
        <v>0.56637343085895031</v>
      </c>
      <c r="J206" s="55">
        <v>0.64124740535731928</v>
      </c>
      <c r="K206" s="55">
        <v>0.63111594346150035</v>
      </c>
      <c r="L206" s="55">
        <v>0.56711475733913208</v>
      </c>
      <c r="M206" s="55">
        <v>0.56760897499258667</v>
      </c>
      <c r="N206" s="55">
        <v>0.56637343085895031</v>
      </c>
      <c r="O206" s="55">
        <v>0.64124740535731928</v>
      </c>
      <c r="P206" s="55">
        <v>0.63111594346150035</v>
      </c>
      <c r="T206" s="55">
        <v>0.60964218641889878</v>
      </c>
      <c r="U206" s="55">
        <v>3.7676051802507042E-2</v>
      </c>
    </row>
    <row r="207" spans="1:21">
      <c r="A207" s="93">
        <v>42691</v>
      </c>
      <c r="B207" s="55">
        <v>0.71649712516585584</v>
      </c>
      <c r="C207" s="55">
        <v>0.62656641604010022</v>
      </c>
      <c r="D207" s="55">
        <v>0.75359968548823042</v>
      </c>
      <c r="E207" s="55">
        <v>0.62410929283994299</v>
      </c>
      <c r="F207" s="55">
        <v>0.54351565187478501</v>
      </c>
      <c r="G207" s="55">
        <v>0.54965845987517814</v>
      </c>
      <c r="H207" s="55">
        <v>0.6167379232394713</v>
      </c>
      <c r="I207" s="55">
        <v>0.54793847363506809</v>
      </c>
      <c r="J207" s="55">
        <v>0.62337215587989581</v>
      </c>
      <c r="K207" s="55">
        <v>0.54351565187478501</v>
      </c>
      <c r="L207" s="55">
        <v>0.54965845987517814</v>
      </c>
      <c r="M207" s="55">
        <v>0.54302422723475363</v>
      </c>
      <c r="N207" s="55">
        <v>0.62165216963978576</v>
      </c>
      <c r="O207" s="55">
        <v>0.62337215587989581</v>
      </c>
      <c r="P207" s="55">
        <v>0.61722934787950268</v>
      </c>
      <c r="T207" s="55">
        <v>0.61455108359133137</v>
      </c>
      <c r="U207" s="55">
        <v>7.362531854699754E-2</v>
      </c>
    </row>
    <row r="208" spans="1:21">
      <c r="A208" s="93">
        <v>42699</v>
      </c>
      <c r="B208" s="55">
        <v>0.53947114456668599</v>
      </c>
      <c r="C208" s="55">
        <v>0.73176027793862186</v>
      </c>
      <c r="D208" s="55">
        <v>0.53416328894035903</v>
      </c>
      <c r="E208" s="55">
        <v>0.62294923759891918</v>
      </c>
      <c r="F208" s="55">
        <v>0.49145917776491027</v>
      </c>
      <c r="G208" s="55">
        <v>0.53343949044585981</v>
      </c>
      <c r="H208" s="55">
        <v>0.73875699671878015</v>
      </c>
      <c r="I208" s="55">
        <v>0.54333140320401463</v>
      </c>
      <c r="J208" s="55">
        <v>0.53368075661069292</v>
      </c>
      <c r="K208" s="55">
        <v>0.53850607990735377</v>
      </c>
      <c r="L208" s="55">
        <v>0.53343949044585981</v>
      </c>
      <c r="M208" s="55">
        <v>0.73875699671878015</v>
      </c>
      <c r="N208" s="55">
        <v>0.54333140320401463</v>
      </c>
      <c r="O208" s="55">
        <v>0.53368075661069292</v>
      </c>
      <c r="P208" s="55">
        <v>0.53850607990735377</v>
      </c>
      <c r="T208" s="55">
        <v>0.58075178536961969</v>
      </c>
      <c r="U208" s="55">
        <v>8.7582789610992043E-2</v>
      </c>
    </row>
    <row r="209" spans="1:21">
      <c r="A209" s="93">
        <v>42708</v>
      </c>
      <c r="B209" s="55">
        <v>0.52841389793079718</v>
      </c>
      <c r="C209" s="55">
        <v>0.75091653880532105</v>
      </c>
      <c r="D209" s="55">
        <v>0.74876560027914396</v>
      </c>
      <c r="E209" s="55">
        <v>0.72940715354355179</v>
      </c>
      <c r="F209" s="55">
        <v>0.54179751542700916</v>
      </c>
      <c r="G209" s="55">
        <v>0.54729435832723905</v>
      </c>
      <c r="H209" s="55">
        <v>0.52865289110037239</v>
      </c>
      <c r="I209" s="55">
        <v>0.60035084197293642</v>
      </c>
      <c r="J209" s="55">
        <v>0.53414973400060228</v>
      </c>
      <c r="K209" s="55">
        <v>0.48563412057683392</v>
      </c>
      <c r="L209" s="55">
        <v>0.54729435832723905</v>
      </c>
      <c r="M209" s="55">
        <v>0.50475357414285105</v>
      </c>
      <c r="N209" s="55">
        <v>0.60035084197293642</v>
      </c>
      <c r="O209" s="55">
        <v>0.53414973400060228</v>
      </c>
      <c r="P209" s="55">
        <v>0.48563412057683392</v>
      </c>
      <c r="T209" s="55">
        <v>0.59953826519638076</v>
      </c>
      <c r="U209" s="55">
        <v>0.10298188284044432</v>
      </c>
    </row>
    <row r="210" spans="1:21">
      <c r="A210" s="93">
        <v>42715</v>
      </c>
      <c r="B210" s="55">
        <v>0.54695926919368854</v>
      </c>
      <c r="C210" s="55">
        <v>0.65410792184114319</v>
      </c>
      <c r="D210" s="55">
        <v>0.66675575834518575</v>
      </c>
      <c r="E210" s="55">
        <v>0.6066188753448325</v>
      </c>
      <c r="F210" s="55">
        <v>0.53478870953885504</v>
      </c>
      <c r="G210" s="55">
        <v>0.53812964748331915</v>
      </c>
      <c r="H210" s="55">
        <v>0.65243745286891108</v>
      </c>
      <c r="I210" s="55">
        <v>0.60375521424957757</v>
      </c>
      <c r="J210" s="55">
        <v>0.53216368686820481</v>
      </c>
      <c r="K210" s="55">
        <v>0.61926671184887505</v>
      </c>
      <c r="L210" s="55">
        <v>0.53812964748331915</v>
      </c>
      <c r="M210" s="55">
        <v>0.65243745286891108</v>
      </c>
      <c r="N210" s="55">
        <v>0.60375521424957757</v>
      </c>
      <c r="O210" s="55">
        <v>0.53216368686820481</v>
      </c>
      <c r="P210" s="55">
        <v>0.5980278920590677</v>
      </c>
      <c r="T210" s="55">
        <v>0.59549832475825926</v>
      </c>
      <c r="U210" s="55">
        <v>5.3599014190823968E-2</v>
      </c>
    </row>
    <row r="211" spans="1:21">
      <c r="A211" s="93">
        <v>42722</v>
      </c>
      <c r="B211" s="55">
        <v>0.6646255657399307</v>
      </c>
      <c r="C211" s="55">
        <v>0.53055946449625369</v>
      </c>
      <c r="D211" s="55">
        <v>0.65155174381013958</v>
      </c>
      <c r="E211" s="55">
        <v>0.65083862625033273</v>
      </c>
      <c r="F211" s="55">
        <v>0.61042863119461443</v>
      </c>
      <c r="G211" s="55">
        <v>0.60163351462366399</v>
      </c>
      <c r="H211" s="55">
        <v>0.65392880234282891</v>
      </c>
      <c r="I211" s="55">
        <v>0.52556764157760616</v>
      </c>
      <c r="J211" s="55">
        <v>0.54624805081200312</v>
      </c>
      <c r="K211" s="55">
        <v>0.61375651314037949</v>
      </c>
      <c r="L211" s="55">
        <v>0.60163351462366399</v>
      </c>
      <c r="M211" s="55">
        <v>0.65392880234282891</v>
      </c>
      <c r="N211" s="55">
        <v>0.52556764157760616</v>
      </c>
      <c r="O211" s="55">
        <v>0.54624805081200312</v>
      </c>
      <c r="P211" s="55">
        <v>0.61375651314037949</v>
      </c>
      <c r="T211" s="55">
        <v>0.60491385539877529</v>
      </c>
      <c r="U211" s="55">
        <v>5.3372454708711103E-2</v>
      </c>
    </row>
    <row r="212" spans="1:21">
      <c r="A212" s="93">
        <v>42729</v>
      </c>
      <c r="B212" s="55">
        <v>0.64689198770976131</v>
      </c>
      <c r="C212" s="55">
        <v>0.52729851099030955</v>
      </c>
      <c r="D212" s="55">
        <v>0.52871661545733872</v>
      </c>
      <c r="E212" s="55">
        <v>0.6575277712124793</v>
      </c>
      <c r="F212" s="55">
        <v>0.59371307019617114</v>
      </c>
      <c r="G212" s="55">
        <v>0.52422595131174665</v>
      </c>
      <c r="H212" s="55">
        <v>0.64807374143228547</v>
      </c>
      <c r="I212" s="55">
        <v>0.52871661545733872</v>
      </c>
      <c r="J212" s="55">
        <v>0.52989836917986288</v>
      </c>
      <c r="K212" s="55">
        <v>0.60623965965492788</v>
      </c>
      <c r="L212" s="55">
        <v>0.52422595131174665</v>
      </c>
      <c r="M212" s="55">
        <v>0.64807374143228547</v>
      </c>
      <c r="N212" s="55">
        <v>0.52871661545733872</v>
      </c>
      <c r="O212" s="55">
        <v>0.52989836917986288</v>
      </c>
      <c r="P212" s="55">
        <v>0.60623965965492788</v>
      </c>
      <c r="T212" s="55">
        <v>0.57913022926022217</v>
      </c>
      <c r="U212" s="55">
        <v>5.7393831013056243E-2</v>
      </c>
    </row>
    <row r="213" spans="1:21">
      <c r="A213" s="93" t="s">
        <v>387</v>
      </c>
      <c r="B213" s="55">
        <v>0.58967711524864486</v>
      </c>
      <c r="C213" s="55">
        <v>0.63917039830308742</v>
      </c>
      <c r="D213" s="55">
        <v>0.60122554796134819</v>
      </c>
      <c r="E213" s="55">
        <v>0.65590384162149418</v>
      </c>
      <c r="F213" s="55">
        <v>0.59769031345745938</v>
      </c>
      <c r="G213" s="55">
        <v>0.59769031345745938</v>
      </c>
      <c r="H213" s="55">
        <v>0.5408908790949799</v>
      </c>
      <c r="I213" s="55">
        <v>0.64859769031345749</v>
      </c>
      <c r="J213" s="55">
        <v>0.52698562337968413</v>
      </c>
      <c r="K213" s="55">
        <v>0.59321234975253367</v>
      </c>
      <c r="L213" s="55">
        <v>0.59769031345745938</v>
      </c>
      <c r="M213" s="55">
        <v>0.5408908790949799</v>
      </c>
      <c r="N213" s="55">
        <v>0.64859769031345749</v>
      </c>
      <c r="O213" s="55">
        <v>0.52698562337968413</v>
      </c>
      <c r="P213" s="55">
        <v>0.59321234975253367</v>
      </c>
      <c r="T213" s="55">
        <v>0.59910440725901493</v>
      </c>
      <c r="U213" s="55">
        <v>4.2167743116739181E-2</v>
      </c>
    </row>
    <row r="214" spans="1:21">
      <c r="A214" s="93">
        <v>42744</v>
      </c>
      <c r="B214" s="55">
        <v>0.59091978358033403</v>
      </c>
      <c r="C214" s="55">
        <v>0.64267231239708311</v>
      </c>
      <c r="D214" s="55">
        <v>0.64267231239708311</v>
      </c>
      <c r="E214" s="55">
        <v>0.64784756527875798</v>
      </c>
      <c r="F214" s="55">
        <v>0.63961420842154793</v>
      </c>
      <c r="G214" s="55">
        <v>0.64667137144201359</v>
      </c>
      <c r="H214" s="55">
        <v>0.5262291225593978</v>
      </c>
      <c r="I214" s="55">
        <v>0.64361326746647851</v>
      </c>
      <c r="J214" s="55">
        <v>0.52975770406963074</v>
      </c>
      <c r="K214" s="55">
        <v>0.64502470007057167</v>
      </c>
      <c r="L214" s="55">
        <v>0.64667137144201359</v>
      </c>
      <c r="M214" s="55">
        <v>0.5262291225593978</v>
      </c>
      <c r="N214" s="55">
        <v>0.64361326746647851</v>
      </c>
      <c r="O214" s="55">
        <v>0.52975770406963074</v>
      </c>
      <c r="P214" s="55">
        <v>0.64502470007057167</v>
      </c>
      <c r="T214" s="55">
        <v>0.61550223476828991</v>
      </c>
      <c r="U214" s="55">
        <v>4.9061712984167456E-2</v>
      </c>
    </row>
    <row r="215" spans="1:21">
      <c r="A215" s="93">
        <v>42751</v>
      </c>
      <c r="B215" s="55">
        <v>0.63975875666898629</v>
      </c>
      <c r="C215" s="55">
        <v>0.65785200649501274</v>
      </c>
      <c r="D215" s="55">
        <v>0.58826258408721877</v>
      </c>
      <c r="E215" s="55">
        <v>0.63975875666898629</v>
      </c>
      <c r="F215" s="55">
        <v>0.66063558339132455</v>
      </c>
      <c r="G215" s="55">
        <v>0.5919740199489677</v>
      </c>
      <c r="H215" s="55">
        <v>0.5912781257248898</v>
      </c>
      <c r="I215" s="55">
        <v>0.63720714451403382</v>
      </c>
      <c r="J215" s="55">
        <v>0.63419160287636278</v>
      </c>
      <c r="K215" s="55">
        <v>0.65808397123637208</v>
      </c>
      <c r="L215" s="55">
        <v>0.63836696822083039</v>
      </c>
      <c r="M215" s="55">
        <v>0.66086754813268378</v>
      </c>
      <c r="N215" s="55">
        <v>0.59081419624217113</v>
      </c>
      <c r="O215" s="55">
        <v>0.63419160287636278</v>
      </c>
      <c r="P215" s="55">
        <v>0.5884945488285781</v>
      </c>
      <c r="T215" s="55">
        <v>0.62990025516121539</v>
      </c>
      <c r="U215" s="55">
        <v>2.8771577234535297E-2</v>
      </c>
    </row>
    <row r="216" spans="1:21">
      <c r="A216" s="93">
        <v>42758</v>
      </c>
      <c r="B216" s="55">
        <v>0.62946737376066408</v>
      </c>
      <c r="C216" s="55">
        <v>0.68964722158173852</v>
      </c>
      <c r="D216" s="55">
        <v>0.59603412497117825</v>
      </c>
      <c r="E216" s="55">
        <v>0.63730689416647457</v>
      </c>
      <c r="F216" s="55">
        <v>0.67304588425178702</v>
      </c>
      <c r="G216" s="55">
        <v>0.58335254784413193</v>
      </c>
      <c r="H216" s="55">
        <v>0.67719621858427492</v>
      </c>
      <c r="I216" s="55">
        <v>0.58450541849204529</v>
      </c>
      <c r="J216" s="55">
        <v>0.64099608023979715</v>
      </c>
      <c r="K216" s="55">
        <v>0.68226884943509347</v>
      </c>
      <c r="L216" s="55">
        <v>0.58335254784413193</v>
      </c>
      <c r="M216" s="55">
        <v>0.67719621858427492</v>
      </c>
      <c r="N216" s="55">
        <v>0.58450541849204529</v>
      </c>
      <c r="O216" s="55">
        <v>0.64099608023979715</v>
      </c>
      <c r="P216" s="55">
        <v>0.59003919760202905</v>
      </c>
      <c r="T216" s="55">
        <v>0.63938206133271858</v>
      </c>
      <c r="U216" s="55">
        <v>4.0911876425985386E-2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8" workbookViewId="0">
      <selection activeCell="J30" sqref="J30"/>
    </sheetView>
  </sheetViews>
  <sheetFormatPr defaultRowHeight="15"/>
  <cols>
    <col min="1" max="1" width="25.7109375" customWidth="1"/>
  </cols>
  <sheetData>
    <row r="1" spans="1:6">
      <c r="A1" t="s">
        <v>448</v>
      </c>
    </row>
    <row r="2" spans="1:6">
      <c r="A2" s="4" t="s">
        <v>68</v>
      </c>
    </row>
    <row r="3" spans="1:6">
      <c r="A3" s="4"/>
    </row>
    <row r="4" spans="1:6">
      <c r="A4" s="4" t="s">
        <v>449</v>
      </c>
    </row>
    <row r="5" spans="1:6">
      <c r="A5" s="14" t="s">
        <v>61</v>
      </c>
      <c r="B5" s="15"/>
      <c r="C5" s="15"/>
      <c r="D5" s="15"/>
      <c r="E5" s="15"/>
      <c r="F5" s="15"/>
    </row>
    <row r="6" spans="1:6">
      <c r="A6" s="15" t="s">
        <v>5</v>
      </c>
      <c r="B6" s="16">
        <v>0</v>
      </c>
      <c r="C6" s="16">
        <v>0</v>
      </c>
      <c r="D6" s="16">
        <v>0</v>
      </c>
      <c r="E6" s="16">
        <v>0</v>
      </c>
      <c r="F6" s="16">
        <v>0</v>
      </c>
    </row>
    <row r="7" spans="1:6">
      <c r="A7" s="15" t="s">
        <v>62</v>
      </c>
      <c r="B7" s="16">
        <v>1</v>
      </c>
      <c r="C7" s="16">
        <v>0</v>
      </c>
      <c r="D7" s="16">
        <v>1</v>
      </c>
      <c r="E7" s="16">
        <v>0</v>
      </c>
      <c r="F7" s="16">
        <v>2</v>
      </c>
    </row>
    <row r="8" spans="1:6">
      <c r="A8" s="15" t="s">
        <v>63</v>
      </c>
      <c r="B8" s="16">
        <v>3</v>
      </c>
      <c r="C8" s="16">
        <v>4</v>
      </c>
      <c r="D8" s="16">
        <v>2</v>
      </c>
      <c r="E8" s="16">
        <v>3</v>
      </c>
      <c r="F8" s="16">
        <v>2</v>
      </c>
    </row>
    <row r="9" spans="1:6">
      <c r="A9" s="15" t="s">
        <v>64</v>
      </c>
      <c r="B9" s="16">
        <v>3</v>
      </c>
      <c r="C9" s="16">
        <v>4</v>
      </c>
      <c r="D9" s="16">
        <v>4</v>
      </c>
      <c r="E9" s="16">
        <v>4</v>
      </c>
      <c r="F9" s="16">
        <v>4</v>
      </c>
    </row>
    <row r="10" spans="1:6">
      <c r="A10" s="15"/>
      <c r="B10" s="15"/>
      <c r="C10" s="15"/>
      <c r="D10" s="15"/>
      <c r="E10" s="15"/>
      <c r="F10" s="15"/>
    </row>
    <row r="11" spans="1:6">
      <c r="A11" s="4" t="s">
        <v>451</v>
      </c>
    </row>
    <row r="12" spans="1:6">
      <c r="A12" s="14" t="s">
        <v>65</v>
      </c>
      <c r="B12" s="15"/>
      <c r="C12" s="15"/>
      <c r="D12" s="15"/>
      <c r="E12" s="15"/>
      <c r="F12" s="15"/>
    </row>
    <row r="13" spans="1:6">
      <c r="A13" s="15" t="s">
        <v>5</v>
      </c>
      <c r="B13" s="16">
        <v>1</v>
      </c>
      <c r="C13" s="16">
        <v>0</v>
      </c>
      <c r="D13" s="16">
        <v>0</v>
      </c>
      <c r="E13" s="16">
        <v>2</v>
      </c>
      <c r="F13" s="16">
        <v>0</v>
      </c>
    </row>
    <row r="14" spans="1:6">
      <c r="A14" s="15" t="s">
        <v>62</v>
      </c>
      <c r="B14" s="16">
        <v>1</v>
      </c>
      <c r="C14" s="16">
        <v>3</v>
      </c>
      <c r="D14" s="16">
        <v>1</v>
      </c>
      <c r="E14" s="16">
        <v>2</v>
      </c>
      <c r="F14" s="16">
        <v>0</v>
      </c>
    </row>
    <row r="15" spans="1:6">
      <c r="A15" s="15" t="s">
        <v>63</v>
      </c>
      <c r="B15" s="16">
        <v>1</v>
      </c>
      <c r="C15" s="16">
        <v>2</v>
      </c>
      <c r="D15" s="16">
        <v>3</v>
      </c>
      <c r="E15" s="16">
        <v>2</v>
      </c>
      <c r="F15" s="16">
        <v>2</v>
      </c>
    </row>
    <row r="16" spans="1:6">
      <c r="A16" s="15" t="s">
        <v>64</v>
      </c>
      <c r="B16" s="16">
        <v>4</v>
      </c>
      <c r="C16" s="16">
        <v>4</v>
      </c>
      <c r="D16" s="16">
        <v>2</v>
      </c>
      <c r="E16" s="16">
        <v>4</v>
      </c>
      <c r="F16" s="16">
        <v>4</v>
      </c>
    </row>
    <row r="17" spans="1:6">
      <c r="A17" s="15"/>
      <c r="B17" s="15"/>
      <c r="C17" s="15"/>
      <c r="D17" s="15"/>
      <c r="E17" s="15"/>
      <c r="F17" s="15"/>
    </row>
    <row r="18" spans="1:6">
      <c r="A18" s="71" t="s">
        <v>450</v>
      </c>
      <c r="B18" s="15"/>
      <c r="C18" s="15"/>
      <c r="D18" s="15"/>
      <c r="E18" s="15"/>
      <c r="F18" s="15"/>
    </row>
    <row r="19" spans="1:6">
      <c r="A19" s="14" t="s">
        <v>66</v>
      </c>
      <c r="B19" s="15"/>
      <c r="C19" s="15"/>
      <c r="D19" s="15"/>
      <c r="E19" s="15"/>
      <c r="F19" s="15"/>
    </row>
    <row r="20" spans="1:6">
      <c r="A20" s="15" t="s">
        <v>5</v>
      </c>
      <c r="B20" s="16">
        <v>4</v>
      </c>
      <c r="C20" s="16">
        <v>3</v>
      </c>
      <c r="D20" s="16">
        <v>4</v>
      </c>
      <c r="E20" s="16">
        <v>4</v>
      </c>
      <c r="F20" s="16">
        <v>3</v>
      </c>
    </row>
    <row r="21" spans="1:6">
      <c r="A21" s="15" t="s">
        <v>62</v>
      </c>
      <c r="B21" s="16">
        <v>2</v>
      </c>
      <c r="C21" s="16">
        <v>3</v>
      </c>
      <c r="D21" s="16">
        <v>3</v>
      </c>
      <c r="E21" s="16">
        <v>3</v>
      </c>
      <c r="F21" s="16">
        <v>2</v>
      </c>
    </row>
    <row r="22" spans="1:6">
      <c r="A22" s="15" t="s">
        <v>63</v>
      </c>
      <c r="B22" s="16">
        <v>0</v>
      </c>
      <c r="C22" s="16">
        <v>1</v>
      </c>
      <c r="D22" s="16">
        <v>1</v>
      </c>
      <c r="E22" s="16">
        <v>1</v>
      </c>
      <c r="F22" s="16">
        <v>2</v>
      </c>
    </row>
    <row r="23" spans="1:6">
      <c r="A23" s="15" t="s">
        <v>64</v>
      </c>
      <c r="B23" s="16">
        <v>0</v>
      </c>
      <c r="C23" s="16">
        <v>0</v>
      </c>
      <c r="D23" s="16">
        <v>0</v>
      </c>
      <c r="E23" s="16">
        <v>1</v>
      </c>
      <c r="F23" s="16">
        <v>0</v>
      </c>
    </row>
    <row r="24" spans="1:6">
      <c r="A24" s="15"/>
      <c r="B24" s="16"/>
      <c r="C24" s="16"/>
      <c r="D24" s="16"/>
      <c r="E24" s="16"/>
      <c r="F24" s="16"/>
    </row>
    <row r="25" spans="1:6">
      <c r="A25" s="15" t="s">
        <v>452</v>
      </c>
      <c r="B25" s="15"/>
      <c r="C25" s="15"/>
      <c r="D25" s="15"/>
      <c r="E25" s="15"/>
      <c r="F25" s="15"/>
    </row>
    <row r="26" spans="1:6">
      <c r="A26" s="14" t="s">
        <v>67</v>
      </c>
      <c r="B26" s="15"/>
      <c r="C26" s="15"/>
      <c r="D26" s="15"/>
      <c r="E26" s="15"/>
      <c r="F26" s="15"/>
    </row>
    <row r="27" spans="1:6">
      <c r="A27" s="15" t="s">
        <v>5</v>
      </c>
      <c r="B27" s="16">
        <v>0</v>
      </c>
      <c r="C27" s="16">
        <v>0</v>
      </c>
      <c r="D27" s="16">
        <v>0</v>
      </c>
      <c r="E27" s="16">
        <v>0</v>
      </c>
      <c r="F27" s="16">
        <v>0</v>
      </c>
    </row>
    <row r="28" spans="1:6">
      <c r="A28" s="15" t="s">
        <v>62</v>
      </c>
      <c r="B28" s="16">
        <v>0</v>
      </c>
      <c r="C28" s="16">
        <v>1</v>
      </c>
      <c r="D28" s="16">
        <v>0</v>
      </c>
      <c r="E28" s="16">
        <v>1</v>
      </c>
      <c r="F28" s="16">
        <v>0</v>
      </c>
    </row>
    <row r="29" spans="1:6">
      <c r="A29" s="15" t="s">
        <v>63</v>
      </c>
      <c r="B29" s="16">
        <v>1</v>
      </c>
      <c r="C29" s="16">
        <v>2</v>
      </c>
      <c r="D29" s="16">
        <v>1</v>
      </c>
      <c r="E29" s="16">
        <v>0</v>
      </c>
      <c r="F29" s="16">
        <v>1</v>
      </c>
    </row>
    <row r="30" spans="1:6">
      <c r="A30" s="15" t="s">
        <v>64</v>
      </c>
      <c r="B30" s="16">
        <v>3</v>
      </c>
      <c r="C30" s="16">
        <v>2</v>
      </c>
      <c r="D30" s="16">
        <v>3</v>
      </c>
      <c r="E30" s="16">
        <v>4</v>
      </c>
      <c r="F30" s="16">
        <v>2</v>
      </c>
    </row>
  </sheetData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/>
  </sheetViews>
  <sheetFormatPr defaultRowHeight="15"/>
  <cols>
    <col min="1" max="1" width="13.42578125" customWidth="1"/>
  </cols>
  <sheetData>
    <row r="1" spans="1:11">
      <c r="A1" t="s">
        <v>453</v>
      </c>
    </row>
    <row r="2" spans="1:11">
      <c r="A2" s="4" t="s">
        <v>263</v>
      </c>
      <c r="B2" s="51" t="s">
        <v>168</v>
      </c>
      <c r="C2" s="51" t="s">
        <v>265</v>
      </c>
      <c r="D2" s="51" t="s">
        <v>266</v>
      </c>
      <c r="E2" s="51" t="s">
        <v>267</v>
      </c>
      <c r="F2" s="51" t="s">
        <v>268</v>
      </c>
      <c r="G2" s="51" t="s">
        <v>168</v>
      </c>
      <c r="H2" s="51" t="s">
        <v>265</v>
      </c>
      <c r="I2" s="51" t="s">
        <v>266</v>
      </c>
      <c r="J2" s="51" t="s">
        <v>267</v>
      </c>
      <c r="K2" s="51" t="s">
        <v>268</v>
      </c>
    </row>
    <row r="3" spans="1:11">
      <c r="B3" s="74" t="s">
        <v>270</v>
      </c>
      <c r="C3" s="74"/>
      <c r="D3" s="74"/>
      <c r="E3" s="74"/>
      <c r="F3" s="74"/>
      <c r="G3" s="74" t="s">
        <v>271</v>
      </c>
      <c r="H3" s="74"/>
      <c r="I3" s="74"/>
      <c r="J3" s="74"/>
      <c r="K3" s="74"/>
    </row>
    <row r="4" spans="1:11">
      <c r="A4" s="4" t="s">
        <v>5</v>
      </c>
      <c r="B4">
        <v>5.8900000000000001E-2</v>
      </c>
      <c r="C4">
        <v>8.3000000000000004E-2</v>
      </c>
      <c r="D4">
        <v>6.6000000000000003E-2</v>
      </c>
      <c r="E4">
        <v>1.84E-2</v>
      </c>
      <c r="F4">
        <v>7.2999999999999995E-2</v>
      </c>
      <c r="G4">
        <v>5.8000000000000003E-2</v>
      </c>
      <c r="H4">
        <v>2.8000000000000001E-2</v>
      </c>
      <c r="I4">
        <v>6.4000000000000001E-2</v>
      </c>
      <c r="J4">
        <v>0.105</v>
      </c>
      <c r="K4">
        <v>4.4999999999999998E-2</v>
      </c>
    </row>
    <row r="5" spans="1:11">
      <c r="A5" s="4" t="s">
        <v>6</v>
      </c>
      <c r="B5">
        <v>7.3999999999999996E-2</v>
      </c>
      <c r="C5">
        <v>0.218</v>
      </c>
      <c r="D5">
        <v>0.38200000000000001</v>
      </c>
      <c r="E5">
        <v>0.19400000000000001</v>
      </c>
      <c r="F5">
        <v>9.1999999999999998E-2</v>
      </c>
      <c r="G5">
        <v>0.28299999999999997</v>
      </c>
      <c r="H5">
        <v>0.125</v>
      </c>
      <c r="I5">
        <v>0.622</v>
      </c>
      <c r="J5">
        <v>0.42199999999999999</v>
      </c>
      <c r="K5">
        <v>0.21299999999999999</v>
      </c>
    </row>
    <row r="6" spans="1:11">
      <c r="A6" s="4" t="s">
        <v>218</v>
      </c>
      <c r="B6">
        <v>0.72799999999999998</v>
      </c>
      <c r="C6">
        <v>0.68300000000000005</v>
      </c>
      <c r="D6">
        <v>0.38500000000000001</v>
      </c>
      <c r="E6">
        <v>0.58399999999999996</v>
      </c>
      <c r="F6">
        <v>0.58399999999999996</v>
      </c>
      <c r="G6">
        <v>0.89</v>
      </c>
      <c r="H6">
        <v>0.56200000000000006</v>
      </c>
      <c r="I6">
        <v>0.754</v>
      </c>
      <c r="J6">
        <v>0.64400000000000002</v>
      </c>
      <c r="K6">
        <v>0.89200000000000002</v>
      </c>
    </row>
    <row r="7" spans="1:11">
      <c r="A7" s="4" t="s">
        <v>52</v>
      </c>
      <c r="B7">
        <v>0.84699999999999998</v>
      </c>
      <c r="C7">
        <v>0.55300000000000005</v>
      </c>
      <c r="D7">
        <v>0.57799999999999996</v>
      </c>
      <c r="E7">
        <v>0.78400000000000003</v>
      </c>
      <c r="F7">
        <v>0.84699999999999998</v>
      </c>
      <c r="G7">
        <v>0.86299999999999999</v>
      </c>
      <c r="H7">
        <v>0.66700000000000004</v>
      </c>
      <c r="I7">
        <v>0.72299999999999998</v>
      </c>
      <c r="J7">
        <v>0.65600000000000003</v>
      </c>
      <c r="K7">
        <v>0.82299999999999995</v>
      </c>
    </row>
  </sheetData>
  <mergeCells count="2">
    <mergeCell ref="B3:F3"/>
    <mergeCell ref="G3:K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topLeftCell="A3" workbookViewId="0">
      <selection activeCell="K17" sqref="K17"/>
    </sheetView>
  </sheetViews>
  <sheetFormatPr defaultRowHeight="15"/>
  <cols>
    <col min="1" max="1" width="20.140625" customWidth="1"/>
  </cols>
  <sheetData>
    <row r="1" spans="1:6">
      <c r="A1" s="4" t="s">
        <v>454</v>
      </c>
    </row>
    <row r="3" spans="1:6">
      <c r="A3" s="4" t="s">
        <v>68</v>
      </c>
    </row>
    <row r="4" spans="1:6">
      <c r="A4" s="4"/>
    </row>
    <row r="5" spans="1:6">
      <c r="A5" s="4" t="s">
        <v>455</v>
      </c>
    </row>
    <row r="6" spans="1:6">
      <c r="A6" s="14" t="s">
        <v>61</v>
      </c>
      <c r="B6" s="15"/>
      <c r="C6" s="15"/>
      <c r="D6" s="15"/>
      <c r="E6" s="15"/>
      <c r="F6" s="15"/>
    </row>
    <row r="7" spans="1:6">
      <c r="A7" s="69" t="s">
        <v>5</v>
      </c>
      <c r="B7" s="17">
        <v>0</v>
      </c>
      <c r="C7" s="17">
        <v>0</v>
      </c>
      <c r="D7" s="17">
        <v>0</v>
      </c>
      <c r="E7" s="17">
        <v>1</v>
      </c>
      <c r="F7" s="17">
        <v>0</v>
      </c>
    </row>
    <row r="8" spans="1:6">
      <c r="A8" s="69" t="s">
        <v>394</v>
      </c>
      <c r="B8" s="17">
        <v>3</v>
      </c>
      <c r="C8" s="17">
        <v>3</v>
      </c>
      <c r="D8" s="17">
        <v>2</v>
      </c>
      <c r="E8" s="17">
        <v>2</v>
      </c>
      <c r="F8" s="17">
        <v>4</v>
      </c>
    </row>
    <row r="9" spans="1:6">
      <c r="A9" s="69" t="s">
        <v>395</v>
      </c>
      <c r="B9" s="17">
        <v>2</v>
      </c>
      <c r="C9" s="17">
        <v>2</v>
      </c>
      <c r="D9" s="17">
        <v>2</v>
      </c>
      <c r="E9" s="17">
        <v>1</v>
      </c>
      <c r="F9" s="17">
        <v>1</v>
      </c>
    </row>
    <row r="10" spans="1:6">
      <c r="A10" s="69" t="s">
        <v>396</v>
      </c>
      <c r="B10" s="17">
        <v>2</v>
      </c>
      <c r="C10" s="17">
        <v>2</v>
      </c>
      <c r="D10" s="17">
        <v>2</v>
      </c>
      <c r="E10" s="17">
        <v>3</v>
      </c>
      <c r="F10" s="17">
        <v>1</v>
      </c>
    </row>
    <row r="11" spans="1:6">
      <c r="A11" s="69" t="s">
        <v>397</v>
      </c>
      <c r="B11" s="17">
        <v>1</v>
      </c>
      <c r="C11" s="17">
        <v>1</v>
      </c>
      <c r="D11" s="17">
        <v>1</v>
      </c>
      <c r="E11" s="17">
        <v>2</v>
      </c>
      <c r="F11" s="17">
        <v>1</v>
      </c>
    </row>
    <row r="12" spans="1:6">
      <c r="A12" s="15"/>
      <c r="B12" s="16"/>
      <c r="C12" s="16"/>
      <c r="D12" s="16"/>
      <c r="E12" s="16"/>
      <c r="F12" s="16"/>
    </row>
    <row r="13" spans="1:6">
      <c r="A13" s="71" t="s">
        <v>456</v>
      </c>
      <c r="B13" s="15"/>
      <c r="C13" s="15"/>
      <c r="D13" s="15"/>
      <c r="E13" s="15"/>
      <c r="F13" s="15"/>
    </row>
    <row r="14" spans="1:6">
      <c r="A14" s="14" t="s">
        <v>65</v>
      </c>
    </row>
    <row r="15" spans="1:6">
      <c r="A15" s="69" t="s">
        <v>5</v>
      </c>
      <c r="B15" s="17">
        <v>1</v>
      </c>
      <c r="C15" s="17">
        <v>1</v>
      </c>
      <c r="D15" s="17">
        <v>1</v>
      </c>
      <c r="E15" s="17">
        <v>0</v>
      </c>
      <c r="F15" s="17">
        <v>0</v>
      </c>
    </row>
    <row r="16" spans="1:6">
      <c r="A16" s="69" t="s">
        <v>394</v>
      </c>
      <c r="B16" s="17">
        <v>3</v>
      </c>
      <c r="C16" s="17">
        <v>3</v>
      </c>
      <c r="D16" s="17">
        <v>3</v>
      </c>
      <c r="E16" s="17">
        <v>2</v>
      </c>
      <c r="F16" s="17">
        <v>3</v>
      </c>
    </row>
    <row r="17" spans="1:6">
      <c r="A17" s="69" t="s">
        <v>395</v>
      </c>
      <c r="B17" s="17">
        <v>3</v>
      </c>
      <c r="C17" s="17">
        <v>2</v>
      </c>
      <c r="D17" s="17">
        <v>2</v>
      </c>
      <c r="E17" s="17">
        <v>2</v>
      </c>
      <c r="F17" s="17">
        <v>1</v>
      </c>
    </row>
    <row r="18" spans="1:6">
      <c r="A18" s="69" t="s">
        <v>396</v>
      </c>
      <c r="B18" s="17">
        <v>2</v>
      </c>
      <c r="C18" s="17">
        <v>2</v>
      </c>
      <c r="D18" s="17">
        <v>2</v>
      </c>
      <c r="E18" s="17">
        <v>1</v>
      </c>
      <c r="F18" s="17">
        <v>2</v>
      </c>
    </row>
    <row r="19" spans="1:6">
      <c r="A19" s="69" t="s">
        <v>397</v>
      </c>
      <c r="B19" s="17">
        <v>1</v>
      </c>
      <c r="C19" s="17">
        <v>1</v>
      </c>
      <c r="D19" s="17">
        <v>2</v>
      </c>
      <c r="E19" s="17">
        <v>2</v>
      </c>
      <c r="F19" s="17">
        <v>1</v>
      </c>
    </row>
    <row r="20" spans="1:6">
      <c r="A20" s="15"/>
      <c r="B20" s="15"/>
      <c r="C20" s="15"/>
      <c r="D20" s="15"/>
      <c r="E20" s="15"/>
      <c r="F20" s="15"/>
    </row>
    <row r="21" spans="1:6">
      <c r="A21" s="71" t="s">
        <v>457</v>
      </c>
      <c r="B21" s="15"/>
      <c r="C21" s="15"/>
      <c r="D21" s="15"/>
      <c r="E21" s="15"/>
      <c r="F21" s="15"/>
    </row>
    <row r="22" spans="1:6">
      <c r="A22" s="14" t="s">
        <v>66</v>
      </c>
      <c r="B22" s="15"/>
      <c r="C22" s="15"/>
      <c r="D22" s="15"/>
      <c r="E22" s="15"/>
      <c r="F22" s="15"/>
    </row>
    <row r="23" spans="1:6">
      <c r="A23" s="69" t="s">
        <v>5</v>
      </c>
      <c r="B23" s="17">
        <v>3</v>
      </c>
      <c r="C23" s="17">
        <v>3</v>
      </c>
      <c r="D23" s="17">
        <v>3</v>
      </c>
      <c r="E23" s="17">
        <v>4</v>
      </c>
      <c r="F23" s="17">
        <v>3</v>
      </c>
    </row>
    <row r="24" spans="1:6">
      <c r="A24" s="69" t="s">
        <v>394</v>
      </c>
      <c r="B24" s="17">
        <v>2</v>
      </c>
      <c r="C24" s="17">
        <v>2</v>
      </c>
      <c r="D24" s="17">
        <v>1</v>
      </c>
      <c r="E24" s="17">
        <v>1</v>
      </c>
      <c r="F24" s="17">
        <v>2</v>
      </c>
    </row>
    <row r="25" spans="1:6">
      <c r="A25" s="69" t="s">
        <v>395</v>
      </c>
      <c r="B25" s="17">
        <v>1</v>
      </c>
      <c r="C25" s="17">
        <v>3</v>
      </c>
      <c r="D25" s="17">
        <v>2</v>
      </c>
      <c r="E25" s="17">
        <v>2</v>
      </c>
      <c r="F25" s="17">
        <v>2</v>
      </c>
    </row>
    <row r="26" spans="1:6">
      <c r="A26" s="69" t="s">
        <v>396</v>
      </c>
      <c r="B26" s="17">
        <v>2</v>
      </c>
      <c r="C26" s="17">
        <v>1</v>
      </c>
      <c r="D26" s="17">
        <v>1</v>
      </c>
      <c r="E26" s="17">
        <v>2</v>
      </c>
      <c r="F26" s="17">
        <v>1</v>
      </c>
    </row>
    <row r="27" spans="1:6">
      <c r="A27" s="69" t="s">
        <v>397</v>
      </c>
      <c r="B27" s="17">
        <v>2</v>
      </c>
      <c r="C27" s="17">
        <v>3</v>
      </c>
      <c r="D27" s="17">
        <v>3</v>
      </c>
      <c r="E27" s="17">
        <v>3</v>
      </c>
      <c r="F27" s="17">
        <v>4</v>
      </c>
    </row>
    <row r="28" spans="1:6">
      <c r="A28" s="15"/>
      <c r="B28" s="16"/>
      <c r="C28" s="16"/>
      <c r="D28" s="16"/>
      <c r="E28" s="16"/>
      <c r="F28" s="16"/>
    </row>
    <row r="29" spans="1:6">
      <c r="A29" s="71" t="s">
        <v>458</v>
      </c>
      <c r="B29" s="15"/>
      <c r="C29" s="15"/>
      <c r="D29" s="15"/>
      <c r="E29" s="15"/>
      <c r="F29" s="15"/>
    </row>
    <row r="30" spans="1:6">
      <c r="A30" s="14" t="s">
        <v>67</v>
      </c>
      <c r="B30" s="15"/>
      <c r="C30" s="15"/>
      <c r="D30" s="15"/>
      <c r="E30" s="15"/>
      <c r="F30" s="15"/>
    </row>
    <row r="31" spans="1:6">
      <c r="A31" s="69" t="s">
        <v>5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</row>
    <row r="32" spans="1:6">
      <c r="A32" s="69" t="s">
        <v>394</v>
      </c>
      <c r="B32" s="17">
        <v>4</v>
      </c>
      <c r="C32" s="17">
        <v>3</v>
      </c>
      <c r="D32" s="17">
        <v>2</v>
      </c>
      <c r="E32" s="17">
        <v>2</v>
      </c>
      <c r="F32" s="17">
        <v>3</v>
      </c>
    </row>
    <row r="33" spans="1:6">
      <c r="A33" s="69" t="s">
        <v>395</v>
      </c>
      <c r="B33" s="17">
        <v>3</v>
      </c>
      <c r="C33" s="17">
        <v>2</v>
      </c>
      <c r="D33" s="17">
        <v>2</v>
      </c>
      <c r="E33" s="17">
        <v>2</v>
      </c>
      <c r="F33" s="17">
        <v>2</v>
      </c>
    </row>
    <row r="34" spans="1:6">
      <c r="A34" s="69" t="s">
        <v>396</v>
      </c>
      <c r="B34" s="17">
        <v>3</v>
      </c>
      <c r="C34" s="17">
        <v>3</v>
      </c>
      <c r="D34" s="17">
        <v>2</v>
      </c>
      <c r="E34" s="17">
        <v>2</v>
      </c>
      <c r="F34" s="17">
        <v>2</v>
      </c>
    </row>
    <row r="35" spans="1:6">
      <c r="A35" s="69" t="s">
        <v>397</v>
      </c>
      <c r="B35" s="17">
        <v>2</v>
      </c>
      <c r="C35" s="17">
        <v>2</v>
      </c>
      <c r="D35" s="17">
        <v>1</v>
      </c>
      <c r="E35" s="17">
        <v>1</v>
      </c>
      <c r="F35" s="1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Fig#1c</vt:lpstr>
      <vt:lpstr>Fig#1d</vt:lpstr>
      <vt:lpstr>Fig#2a,b,c</vt:lpstr>
      <vt:lpstr>Fig#2d</vt:lpstr>
      <vt:lpstr>Fig#2e</vt:lpstr>
      <vt:lpstr>Fig#2f</vt:lpstr>
      <vt:lpstr>Fig#3a</vt:lpstr>
      <vt:lpstr>Fig#3b</vt:lpstr>
      <vt:lpstr>Fig#3c</vt:lpstr>
      <vt:lpstr>Fig#3d</vt:lpstr>
      <vt:lpstr>Fig#4a</vt:lpstr>
      <vt:lpstr>Fig#4b</vt:lpstr>
      <vt:lpstr>Fig#4c</vt:lpstr>
      <vt:lpstr>Fig#4d</vt:lpstr>
      <vt:lpstr>Fig#4e</vt:lpstr>
      <vt:lpstr>Fig#5b</vt:lpstr>
      <vt:lpstr>Fig#5c</vt:lpstr>
      <vt:lpstr>Fig#5d</vt:lpstr>
      <vt:lpstr>Fig#5e</vt:lpstr>
      <vt:lpstr>Fig#6a</vt:lpstr>
      <vt:lpstr>Fig#6b</vt:lpstr>
      <vt:lpstr>Fig#7a-l</vt:lpstr>
      <vt:lpstr>Fig#8c-d</vt:lpstr>
      <vt:lpstr>Fig#8e,f</vt:lpstr>
      <vt:lpstr>Fig#8g</vt:lpstr>
      <vt:lpstr>supp#1a-d</vt:lpstr>
      <vt:lpstr>Supp#2a-b</vt:lpstr>
      <vt:lpstr>Supp#3a-d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2020-01-15T20:16:22Z</dcterms:modified>
</cp:coreProperties>
</file>